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0800" windowHeight="3570" tabRatio="89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<sst xmlns="http://schemas.openxmlformats.org/spreadsheetml/2006/main" count="1061" uniqueCount="874">
  <si>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</si>
  <si>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</si>
  <si>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</si>
  <si>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</si>
  <si>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</si>
  <si>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</si>
  <si>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</si>
  <si>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</si>
  <si>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</si>
  <si>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</si>
  <si>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</si>
  <si>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</si>
  <si>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</si>
  <si>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</si>
  <si>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</si>
  <si>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</si>
  <si>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</si>
  <si>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</si>
  <si>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</si>
  <si>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</si>
  <si>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</si>
  <si>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</si>
  <si>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</si>
  <si>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</si>
  <si>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</si>
  <si>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</si>
  <si>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</si>
  <si>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</si>
  <si>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</si>
  <si>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</si>
  <si>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</si>
  <si>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</si>
  <si>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</si>
  <si>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</si>
  <si>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</si>
  <si>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</si>
  <si>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</si>
  <si>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</si>
  <si>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</si>
  <si>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</si>
  <si>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</si>
  <si>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</si>
  <si>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</si>
  <si>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</si>
  <si>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</si>
  <si>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</si>
  <si>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</si>
  <si>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</si>
  <si>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</si>
  <si>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</si>
  <si>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</si>
  <si>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</si>
  <si>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</si>
  <si>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</si>
  <si>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</si>
  <si>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</si>
  <si>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</si>
  <si>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</si>
  <si>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</si>
  <si>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</si>
  <si>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</si>
  <si>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</si>
  <si>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</si>
  <si>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</si>
  <si>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</si>
  <si>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</si>
  <si>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</si>
  <si>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</si>
  <si>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</si>
  <si>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</si>
  <si>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</si>
  <si>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</si>
  <si>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</si>
  <si>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</si>
  <si>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</si>
  <si>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</si>
  <si>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</si>
  <si>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</si>
  <si>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</si>
  <si>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</si>
  <si>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</si>
  <si>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</si>
  <si>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</si>
  <si>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</si>
  <si>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</si>
  <si>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</si>
  <si>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</si>
  <si>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</si>
  <si>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</si>
  <si>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</si>
  <si>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</si>
  <si>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</si>
  <si>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</si>
  <si>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</si>
  <si>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</si>
  <si>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</si>
  <si>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</si>
  <si>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</si>
  <si>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</si>
  <si>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</si>
  <si>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</si>
  <si>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</si>
  <si>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</si>
  <si>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</si>
  <si>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</si>
  <si>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</si>
  <si>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</si>
  <si>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</si>
  <si>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</si>
  <si>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</si>
  <si>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</si>
  <si>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</si>
  <si>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</si>
  <si>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</si>
  <si>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</si>
  <si>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</si>
  <si>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</si>
  <si>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</si>
  <si>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</si>
  <si>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</si>
  <si>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</si>
  <si>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</si>
  <si>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</si>
  <si>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</si>
  <si>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</si>
  <si>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</si>
  <si>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</si>
  <si>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</si>
  <si>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</si>
  <si>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</si>
  <si>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</si>
  <si>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</si>
  <si>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</si>
  <si>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</si>
  <si>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</si>
  <si>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</si>
  <si>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</si>
  <si>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</si>
  <si>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</si>
  <si>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</si>
  <si>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</si>
  <si>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</si>
  <si>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</si>
  <si>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</si>
  <si>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</si>
  <si>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</si>
  <si>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</si>
  <si>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</si>
  <si>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</si>
  <si>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</si>
  <si>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</si>
  <si>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</si>
  <si>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</si>
  <si>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</si>
  <si>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</si>
  <si>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</si>
  <si>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</si>
  <si>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</si>
  <si>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</si>
  <si>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</si>
  <si>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</si>
  <si>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</si>
  <si>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</si>
  <si>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</si>
  <si>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</si>
  <si>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</si>
  <si>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</si>
  <si>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</si>
  <si>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</si>
  <si>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</si>
  <si>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</si>
  <si>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</si>
  <si>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</si>
  <si>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</si>
  <si>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</si>
  <si>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</si>
  <si>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</si>
  <si>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</si>
  <si>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</si>
  <si>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</si>
  <si>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</si>
  <si>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</si>
  <si>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</si>
  <si>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</si>
  <si>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</si>
  <si>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</si>
  <si>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</si>
  <si>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</si>
  <si>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</si>
  <si>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</si>
  <si>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</si>
  <si>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</si>
  <si>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</si>
  <si>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</si>
  <si>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</si>
  <si>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</si>
  <si>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</si>
  <si>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</si>
  <si>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</si>
  <si>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</si>
  <si>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</si>
  <si>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</si>
  <si>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</si>
  <si>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</si>
  <si>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</si>
  <si>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</si>
  <si>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</si>
  <si>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</si>
  <si>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</si>
  <si>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</si>
  <si>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</si>
  <si>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</si>
  <si>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</si>
  <si>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</si>
  <si>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</si>
  <si>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</si>
  <si>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</si>
  <si>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</si>
  <si>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</si>
  <si>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</si>
  <si>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</si>
  <si>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</si>
  <si>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</si>
  <si>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</si>
  <si>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</si>
  <si>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</si>
  <si>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</si>
  <si>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</si>
  <si>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</si>
  <si>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</si>
  <si>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</si>
  <si>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</si>
  <si>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</si>
  <si>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</si>
  <si>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</si>
  <si>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</si>
  <si>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</si>
  <si>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</si>
  <si>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</si>
  <si>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</si>
  <si>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</si>
  <si>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</si>
  <si>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</si>
  <si>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</si>
  <si>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</si>
  <si>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</si>
  <si>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</si>
  <si>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</si>
  <si>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</si>
  <si>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</si>
  <si>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</si>
  <si>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</si>
  <si>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</si>
  <si>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</si>
  <si>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</si>
  <si>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</si>
  <si>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</si>
  <si>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</si>
  <si>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</si>
  <si>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</si>
  <si>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</si>
  <si>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</si>
  <si>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</si>
  <si>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</si>
  <si>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</si>
  <si>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</si>
  <si>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</si>
  <si>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</si>
  <si>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</si>
  <si>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</si>
  <si>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</si>
  <si>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</si>
  <si>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</si>
  <si>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</si>
  <si>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</si>
  <si>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</si>
  <si>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</si>
  <si>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</si>
  <si>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</si>
  <si>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</si>
  <si>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</si>
  <si>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</si>
  <si>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</si>
  <si>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</si>
  <si>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</si>
  <si>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</si>
  <si>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</si>
  <si>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</si>
  <si>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</si>
  <si>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</si>
  <si>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</si>
  <si>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</si>
  <si>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</si>
  <si>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</si>
  <si>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</si>
  <si>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</si>
  <si>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</si>
  <si>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</si>
  <si>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</si>
  <si>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</si>
  <si>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</si>
  <si>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</si>
  <si>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</si>
  <si>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</si>
  <si>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</si>
  <si>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</si>
  <si>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</si>
  <si>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</si>
  <si>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</si>
  <si>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</si>
  <si>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</si>
  <si>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</si>
  <si>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</si>
  <si>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</si>
  <si>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</si>
  <si>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</si>
  <si>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</si>
  <si>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</si>
  <si>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</si>
  <si>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</si>
  <si>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</si>
  <si>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</si>
  <si>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</si>
  <si>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</si>
  <si>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</si>
  <si>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</si>
  <si>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</si>
  <si>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</si>
  <si>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</si>
  <si>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</si>
  <si>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</si>
  <si>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</si>
  <si>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</si>
  <si>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</si>
  <si>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</si>
  <si>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</si>
  <si>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</si>
  <si>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</si>
  <si>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</si>
  <si>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</si>
  <si>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</si>
  <si>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</si>
  <si>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</si>
  <si>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</si>
  <si>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</si>
  <si>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</si>
  <si>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</si>
  <si>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</si>
  <si>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</si>
  <si>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</si>
  <si>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</si>
  <si>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</si>
  <si>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</si>
  <si>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</si>
  <si>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</si>
  <si>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</si>
  <si>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</si>
  <si>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</si>
  <si>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</si>
  <si>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</si>
  <si>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</si>
  <si>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</si>
  <si>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</si>
  <si>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</si>
  <si>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</si>
  <si>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</si>
  <si>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</si>
  <si>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</si>
  <si>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</si>
  <si>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</si>
  <si>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</si>
  <si>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</si>
  <si>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</si>
  <si>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</si>
  <si>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</si>
  <si>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</si>
  <si>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</si>
  <si>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</si>
  <si>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</si>
  <si>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</si>
  <si>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</si>
  <si>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</si>
  <si>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</si>
  <si>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</si>
  <si>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</si>
  <si>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</si>
  <si>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</si>
  <si>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</si>
  <si>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</si>
  <si>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</si>
  <si>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</si>
  <si>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</si>
  <si>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</si>
  <si>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</si>
  <si>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</si>
  <si>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</si>
  <si>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</si>
  <si>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</si>
  <si>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</si>
  <si>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</si>
  <si>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</si>
  <si>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</si>
  <si>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</si>
  <si>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</si>
  <si>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</si>
  <si>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</si>
  <si>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</si>
  <si>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</si>
  <si>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</si>
  <si>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</si>
  <si>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</si>
  <si>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</si>
  <si>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</si>
  <si>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</si>
  <si>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</si>
  <si>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</si>
  <si>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</si>
  <si>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</si>
  <si>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</si>
  <si>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</si>
  <si>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</si>
  <si>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</si>
  <si>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</si>
  <si>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</si>
  <si>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</si>
  <si>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</si>
  <si>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</si>
  <si>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</si>
  <si>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</si>
  <si>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</si>
  <si>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</si>
  <si>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</si>
  <si>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</si>
  <si>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</si>
  <si>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</si>
  <si>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</si>
  <si>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</si>
  <si>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</si>
  <si>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</si>
  <si>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</si>
  <si>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</si>
  <si>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</si>
  <si>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</si>
  <si>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</si>
  <si>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</si>
  <si>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</si>
  <si>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</si>
  <si>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</si>
  <si>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</si>
  <si>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</si>
  <si>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</si>
  <si>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</si>
  <si>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</si>
  <si>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</si>
  <si>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</si>
  <si>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</si>
  <si>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</si>
  <si>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</si>
  <si>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</si>
  <si>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</si>
  <si>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</si>
  <si>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</si>
  <si>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</si>
  <si>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</si>
  <si>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</si>
  <si>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</si>
  <si>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</si>
  <si>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</si>
  <si>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</si>
  <si>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</si>
  <si>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</si>
  <si>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</si>
  <si>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</si>
  <si>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</si>
  <si>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</si>
  <si>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</si>
  <si>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</si>
  <si>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</si>
  <si>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</si>
  <si>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</si>
  <si>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</si>
  <si>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</si>
  <si>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</si>
  <si>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</si>
  <si>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</si>
  <si>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</si>
  <si>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</si>
  <si>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</si>
  <si>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</si>
  <si>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</si>
  <si>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</si>
  <si>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</si>
  <si>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</si>
  <si>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</si>
  <si>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</si>
  <si>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</si>
  <si>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</si>
  <si>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</si>
  <si>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</si>
  <si>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</si>
  <si>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</si>
  <si>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</si>
  <si>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</si>
  <si>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</si>
  <si>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</si>
  <si>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</si>
  <si>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</si>
  <si>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</si>
  <si>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</si>
  <si>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</si>
  <si>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</si>
  <si>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</si>
  <si>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</si>
  <si>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</si>
  <si>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</si>
  <si>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</si>
  <si>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</si>
  <si>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</si>
  <si>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</si>
  <si>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</si>
  <si>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</si>
  <si>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</si>
  <si>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</si>
  <si>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</si>
  <si>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</si>
  <si>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</si>
  <si>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</si>
  <si>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</si>
  <si>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</si>
  <si>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</si>
  <si>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</si>
  <si>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</si>
  <si>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</si>
  <si>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</si>
  <si>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</si>
  <si>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</si>
  <si>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</si>
  <si>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</si>
  <si>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</si>
  <si>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</si>
  <si>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</si>
  <si>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</si>
  <si>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</si>
  <si>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</si>
  <si>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</si>
  <si>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</si>
  <si>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</si>
  <si>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</si>
  <si>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</si>
  <si>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</si>
  <si>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</si>
  <si>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</si>
  <si>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</si>
  <si>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</si>
  <si>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</si>
  <si>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</si>
  <si>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</si>
  <si>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</si>
  <si>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</si>
  <si>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</si>
  <si>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</si>
  <si>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</si>
  <si>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</si>
  <si>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</si>
  <si>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</si>
  <si>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</si>
  <si>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</si>
  <si>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</si>
  <si>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</si>
  <si>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</si>
  <si>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</si>
  <si>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</si>
  <si>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</si>
  <si>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</si>
  <si>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</si>
  <si>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</si>
  <si>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</si>
  <si>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</si>
  <si>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</si>
  <si>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</si>
  <si>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</si>
  <si>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</si>
  <si>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</si>
  <si>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</si>
  <si>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</si>
  <si>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</si>
  <si>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</si>
  <si>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</si>
  <si>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</si>
  <si>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</si>
  <si>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</si>
  <si>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</si>
  <si>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</si>
  <si>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</si>
  <si>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</si>
  <si>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</si>
  <si>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</si>
  <si>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</si>
  <si>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</si>
  <si>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</si>
  <si>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</si>
  <si>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</si>
  <si>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</si>
  <si>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</si>
  <si>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</si>
  <si>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</si>
  <si>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</si>
  <si>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</si>
  <si>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</si>
  <si>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</si>
  <si>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</si>
  <si>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</si>
  <si>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</si>
  <si>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</si>
  <si>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</si>
  <si>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</si>
  <si>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</si>
  <si>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</si>
  <si>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</si>
  <si>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</si>
  <si>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</si>
  <si>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</si>
  <si>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</si>
  <si>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</si>
  <si>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</si>
  <si>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</si>
  <si>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</si>
  <si>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</si>
  <si>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</si>
  <si>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</si>
  <si>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</si>
  <si>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</si>
  <si>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</si>
  <si>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</si>
  <si>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</si>
  <si>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</si>
  <si>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</si>
  <si>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</si>
  <si>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</si>
  <si>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</si>
  <si>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</si>
  <si>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</si>
  <si>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</si>
  <si>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</si>
  <si>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</si>
  <si>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</si>
  <si>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</si>
  <si>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</si>
  <si>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</si>
  <si>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</si>
  <si>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</si>
  <si>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</si>
  <si>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</si>
  <si>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</si>
  <si>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</si>
  <si>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</si>
  <si>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</si>
  <si>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</si>
  <si>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</si>
  <si>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</si>
  <si>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</si>
  <si>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</si>
  <si>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</si>
  <si>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</si>
  <si>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</si>
  <si>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</si>
  <si>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</si>
  <si>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</si>
  <si>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</si>
  <si>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</si>
  <si>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</si>
  <si>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</si>
  <si>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</si>
  <si>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</si>
  <si>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</si>
  <si>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</si>
  <si>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</si>
  <si>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</si>
  <si>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</si>
  <si>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</si>
  <si>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</si>
  <si>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</si>
  <si>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</si>
  <si>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</si>
  <si>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</si>
  <si>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</si>
  <si>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</si>
  <si>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</si>
  <si>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</si>
  <si>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</si>
  <si>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</si>
  <si>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</si>
  <si>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</si>
  <si>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</si>
  <si>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</si>
  <si>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</si>
  <si>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</si>
  <si>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</si>
  <si>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</si>
  <si>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</si>
  <si>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</si>
  <si>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</si>
  <si>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</si>
  <si>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</si>
  <si>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</si>
  <si>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</si>
  <si>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</si>
  <si>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</si>
  <si>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</si>
  <si>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</si>
  <si>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</si>
  <si>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</si>
  <si>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</si>
  <si>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</si>
  <si>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</si>
  <si>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</si>
  <si>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</si>
  <si>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</si>
  <si>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</si>
  <si>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</si>
  <si>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</si>
  <si>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</si>
  <si>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</si>
  <si>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</si>
  <si>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</si>
  <si>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</si>
  <si>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</si>
  <si>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</si>
  <si>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</si>
  <si>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</si>
  <si>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</si>
  <si>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</si>
  <si>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</si>
  <si>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</si>
  <si>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</si>
  <si>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</si>
  <si>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</si>
  <si>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</si>
  <si>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</si>
  <si>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</si>
  <si>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</si>
  <si>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</si>
  <si>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</si>
  <si>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</si>
  <si>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</si>
  <si>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</si>
  <si>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</si>
  <si>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</si>
  <si>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</si>
  <si>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</si>
  <si>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</si>
  <si>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</si>
  <si>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</si>
  <si>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</si>
  <si>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</si>
  <si>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</si>
  <si>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</si>
  <si>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</si>
  <si>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</si>
  <si>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</si>
  <si>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</si>
  <si>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</si>
  <si>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</si>
  <si>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</si>
  <si>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</si>
  <si>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</si>
  <si>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</si>
  <si>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</si>
  <si>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</si>
  <si>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</si>
  <si>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</si>
  <si>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</si>
  <si>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</si>
  <si>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</si>
  <si>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</si>
  <si>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</si>
  <si>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</si>
  <si>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</si>
  <si>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</si>
  <si>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</si>
  <si>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</si>
  <si>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</si>
  <si>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</si>
  <si>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</si>
  <si>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</si>
  <si>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</si>
  <si>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</si>
  <si>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</si>
  <si>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</si>
  <si>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</si>
  <si>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</si>
  <si>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</si>
  <si>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</si>
  <si>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</si>
  <si>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</si>
  <si>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</si>
  <si>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</si>
  <si>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</si>
  <si>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</si>
  <si>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</si>
  <si>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</si>
  <si>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</si>
  <si>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</si>
  <si>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</si>
  <si>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</si>
  <si>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</si>
  <si>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</si>
  <si>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</si>
  <si>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</si>
  <si>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</si>
  <si>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</si>
  <si>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</si>
  <si>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</si>
  <si>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</si>
  <si>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</si>
  <si>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</si>
  <si>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</si>
  <si>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</si>
  <si>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</si>
  <si>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</si>
  <si>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</si>
  <si>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</si>
  <si>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</si>
  <si>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</si>
  <si>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</si>
  <si>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</si>
  <si>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</si>
  <si>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</si>
  <si>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</si>
  <si>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</si>
  <si>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</si>
  <si>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</si>
  <si>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</si>
  <si>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</si>
  <si>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</si>
  <si>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</si>
  <si>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</si>
  <si>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</si>
  <si>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</si>
  <si>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</si>
  <si>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</si>
  <si>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</si>
  <si>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</si>
  <si>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</si>
  <si>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</si>
  <si>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</si>
  <si>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</si>
  <si>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</si>
  <si>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</si>
  <si>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</si>
  <si>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</si>
  <si>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</si>
  <si>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</si>
  <si>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</si>
  <si>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</si>
  <si>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</si>
  <si>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</si>
  <si>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</si>
  <si>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</si>
  <si>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</si>
  <si>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</si>
  <si>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</si>
  <si>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</si>
  <si>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</si>
  <si>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</si>
  <si>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</si>
  <si>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</si>
  <si>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</si>
  <si>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</si>
  <si>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</si>
  <si>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 Спиди ЕООД</t>
  </si>
  <si>
    <t>Спиди АД</t>
  </si>
  <si>
    <t>01.01.2013-31.03.2013г.</t>
  </si>
  <si>
    <t>консолидиран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</si>
</sst>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0">
      <selection activeCell="G36" sqref="G3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1482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f>355</f>
        <v>355</v>
      </c>
      <c r="D13" s="151">
        <v>356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5778+48+22</f>
        <v>5848</v>
      </c>
      <c r="D15" s="151">
        <v>5773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368+1088+81</f>
        <v>1537</v>
      </c>
      <c r="D16" s="151">
        <v>1508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1482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652+2</f>
        <v>654</v>
      </c>
      <c r="D18" s="151">
        <v>614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8394</v>
      </c>
      <c r="D19" s="155">
        <f>SUM(D11:D18)</f>
        <v>8251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348</v>
      </c>
      <c r="H22" s="152">
        <v>348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397</v>
      </c>
      <c r="D24" s="151">
        <v>378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397</v>
      </c>
      <c r="D27" s="155">
        <f>SUM(D23:D26)</f>
        <v>378</v>
      </c>
      <c r="E27" s="253" t="s">
        <v>83</v>
      </c>
      <c r="F27" s="242" t="s">
        <v>84</v>
      </c>
      <c r="G27" s="154">
        <f>SUM(G28:G30)</f>
        <v>8693</v>
      </c>
      <c r="H27" s="154">
        <f>SUM(H28:H30)</f>
        <v>1079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8693</v>
      </c>
      <c r="H28" s="152">
        <v>1079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3558</v>
      </c>
      <c r="H31" s="152">
        <v>7614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12251</v>
      </c>
      <c r="H33" s="154">
        <f>H27+H31+H32</f>
        <v>8693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14081</v>
      </c>
      <c r="H36" s="154">
        <f>H25+H17+H33</f>
        <v>10523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3336</v>
      </c>
      <c r="H44" s="152">
        <v>3439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3336</v>
      </c>
      <c r="H49" s="154">
        <f>SUM(H43:H48)</f>
        <v>3439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f>135+71</f>
        <v>206</v>
      </c>
      <c r="D54" s="151">
        <v>206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8997</v>
      </c>
      <c r="D55" s="155">
        <f>D19+D20+D21+D27+D32+D45+D51+D53+D54</f>
        <v>8835</v>
      </c>
      <c r="E55" s="237" t="s">
        <v>172</v>
      </c>
      <c r="F55" s="261" t="s">
        <v>173</v>
      </c>
      <c r="G55" s="154">
        <f>G49+G51+G52+G53+G54</f>
        <v>3336</v>
      </c>
      <c r="H55" s="154">
        <f>H49+H51+H52+H53+H54</f>
        <v>3439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568</v>
      </c>
      <c r="D58" s="151">
        <v>556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1834</v>
      </c>
      <c r="H59" s="152">
        <v>2409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5450</v>
      </c>
      <c r="H61" s="154">
        <f>SUM(H62:H68)</f>
        <v>5039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4550-4384</f>
        <v>166</v>
      </c>
      <c r="H62" s="152">
        <v>91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568</v>
      </c>
      <c r="D64" s="155">
        <f>SUM(D58:D63)</f>
        <v>556</v>
      </c>
      <c r="E64" s="237" t="s">
        <v>200</v>
      </c>
      <c r="F64" s="242" t="s">
        <v>201</v>
      </c>
      <c r="G64" s="152">
        <f>1939+300+89</f>
        <v>2328</v>
      </c>
      <c r="H64" s="152">
        <v>2258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44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596+484+530+18</f>
        <v>1628</v>
      </c>
      <c r="H66" s="152">
        <v>1602</v>
      </c>
    </row>
    <row r="67" spans="1:8" ht="15">
      <c r="A67" s="235" t="s">
        <v>207</v>
      </c>
      <c r="B67" s="241" t="s">
        <v>208</v>
      </c>
      <c r="C67" s="151">
        <f>1650+3252+380</f>
        <v>5282</v>
      </c>
      <c r="D67" s="151">
        <f>5157</f>
        <v>5157</v>
      </c>
      <c r="E67" s="237" t="s">
        <v>209</v>
      </c>
      <c r="F67" s="242" t="s">
        <v>210</v>
      </c>
      <c r="G67" s="152">
        <f>145+266</f>
        <v>411</v>
      </c>
      <c r="H67" s="152">
        <v>442</v>
      </c>
    </row>
    <row r="68" spans="1:8" ht="15">
      <c r="A68" s="235" t="s">
        <v>211</v>
      </c>
      <c r="B68" s="241" t="s">
        <v>212</v>
      </c>
      <c r="C68" s="151">
        <f>3823+3513-961</f>
        <v>6375</v>
      </c>
      <c r="D68" s="151">
        <f>6465</f>
        <v>6465</v>
      </c>
      <c r="E68" s="237" t="s">
        <v>213</v>
      </c>
      <c r="F68" s="242" t="s">
        <v>214</v>
      </c>
      <c r="G68" s="152">
        <f>373+500</f>
        <v>873</v>
      </c>
      <c r="H68" s="152">
        <v>646</v>
      </c>
    </row>
    <row r="69" spans="1:8" ht="15">
      <c r="A69" s="235" t="s">
        <v>215</v>
      </c>
      <c r="B69" s="241" t="s">
        <v>216</v>
      </c>
      <c r="C69" s="151">
        <v>321</v>
      </c>
      <c r="D69" s="151">
        <v>356</v>
      </c>
      <c r="E69" s="251" t="s">
        <v>78</v>
      </c>
      <c r="F69" s="242" t="s">
        <v>217</v>
      </c>
      <c r="G69" s="152">
        <f>560+2</f>
        <v>562</v>
      </c>
      <c r="H69" s="152">
        <v>4282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7846</v>
      </c>
      <c r="H71" s="161">
        <f>H59+H60+H61+H69+H70</f>
        <v>11730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38</v>
      </c>
      <c r="D74" s="151">
        <v>38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12016</v>
      </c>
      <c r="D75" s="155">
        <f>SUM(D67:D74)</f>
        <v>12016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7846</v>
      </c>
      <c r="H79" s="162">
        <f>H71+H74+H75+H76</f>
        <v>11730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2302+54+852</f>
        <v>3208</v>
      </c>
      <c r="D87" s="151">
        <v>3956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3208</v>
      </c>
      <c r="D91" s="155">
        <f>SUM(D87:D90)</f>
        <v>3956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f>414+60</f>
        <v>474</v>
      </c>
      <c r="D92" s="151">
        <v>329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16266</v>
      </c>
      <c r="D93" s="155">
        <f>D64+D75+D84+D91+D92</f>
        <v>16857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25263</v>
      </c>
      <c r="D94" s="164">
        <f>D93+D55</f>
        <v>25692</v>
      </c>
      <c r="E94" s="449" t="s">
        <v>270</v>
      </c>
      <c r="F94" s="289" t="s">
        <v>271</v>
      </c>
      <c r="G94" s="165">
        <f>G36+G39+G55+G79</f>
        <v>25263</v>
      </c>
      <c r="H94" s="165">
        <f>H36+H39+H55+H79</f>
        <v>25692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D34" sqref="D3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01.01.2013-31.03.2013г.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2065</v>
      </c>
      <c r="D9" s="46">
        <f>1844+3</f>
        <v>1847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f>7742-3930+34</f>
        <v>3846</v>
      </c>
      <c r="D10" s="46">
        <f>4308-1388+179</f>
        <v>3099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f>693+20</f>
        <v>713</v>
      </c>
      <c r="D11" s="46">
        <f>579+67</f>
        <v>646</v>
      </c>
      <c r="E11" s="300" t="s">
        <v>293</v>
      </c>
      <c r="F11" s="549" t="s">
        <v>294</v>
      </c>
      <c r="G11" s="550">
        <v>13813</v>
      </c>
      <c r="H11" s="550">
        <f>11523+5</f>
        <v>11528</v>
      </c>
    </row>
    <row r="12" spans="1:8" ht="12">
      <c r="A12" s="298" t="s">
        <v>295</v>
      </c>
      <c r="B12" s="299" t="s">
        <v>296</v>
      </c>
      <c r="C12" s="46">
        <f>1065+1688</f>
        <v>2753</v>
      </c>
      <c r="D12" s="46">
        <f>586+1503</f>
        <v>2089</v>
      </c>
      <c r="E12" s="300" t="s">
        <v>78</v>
      </c>
      <c r="F12" s="549" t="s">
        <v>297</v>
      </c>
      <c r="G12" s="550">
        <f>495+309</f>
        <v>804</v>
      </c>
      <c r="H12" s="550">
        <f>494+25</f>
        <v>519</v>
      </c>
    </row>
    <row r="13" spans="1:18" ht="12">
      <c r="A13" s="298" t="s">
        <v>298</v>
      </c>
      <c r="B13" s="299" t="s">
        <v>299</v>
      </c>
      <c r="C13" s="46">
        <f>210+463</f>
        <v>673</v>
      </c>
      <c r="D13" s="46">
        <f>110+421</f>
        <v>531</v>
      </c>
      <c r="E13" s="301" t="s">
        <v>51</v>
      </c>
      <c r="F13" s="551" t="s">
        <v>300</v>
      </c>
      <c r="G13" s="548">
        <f>SUM(G9:G12)</f>
        <v>14617</v>
      </c>
      <c r="H13" s="548">
        <f>SUM(H9:H12)</f>
        <v>12047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f>391+2</f>
        <v>393</v>
      </c>
      <c r="D14" s="46">
        <f>385+3</f>
        <v>388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>
        <v>8</v>
      </c>
    </row>
    <row r="16" spans="1:8" ht="12">
      <c r="A16" s="298" t="s">
        <v>307</v>
      </c>
      <c r="B16" s="299" t="s">
        <v>308</v>
      </c>
      <c r="C16" s="47">
        <f>215+3+2</f>
        <v>220</v>
      </c>
      <c r="D16" s="47">
        <v>205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10663</v>
      </c>
      <c r="D19" s="49">
        <f>SUM(D9:D15)+D16</f>
        <v>8805</v>
      </c>
      <c r="E19" s="304" t="s">
        <v>317</v>
      </c>
      <c r="F19" s="552" t="s">
        <v>318</v>
      </c>
      <c r="G19" s="550">
        <v>102</v>
      </c>
      <c r="H19" s="550">
        <v>120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79</v>
      </c>
      <c r="D22" s="46">
        <v>81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1</v>
      </c>
      <c r="E24" s="301" t="s">
        <v>103</v>
      </c>
      <c r="F24" s="554" t="s">
        <v>334</v>
      </c>
      <c r="G24" s="548">
        <f>SUM(G19:G23)</f>
        <v>102</v>
      </c>
      <c r="H24" s="548">
        <f>SUM(H19:H23)</f>
        <v>120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23</v>
      </c>
      <c r="D25" s="46">
        <v>25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103</v>
      </c>
      <c r="D26" s="49">
        <f>SUM(D22:D25)</f>
        <v>107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10766</v>
      </c>
      <c r="D28" s="50">
        <f>D26+D19</f>
        <v>8912</v>
      </c>
      <c r="E28" s="127" t="s">
        <v>339</v>
      </c>
      <c r="F28" s="554" t="s">
        <v>340</v>
      </c>
      <c r="G28" s="548">
        <f>G13+G15+G24</f>
        <v>14719</v>
      </c>
      <c r="H28" s="548">
        <f>H13+H15+H24</f>
        <v>12175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3953</v>
      </c>
      <c r="D30" s="50">
        <f>IF((H28-D28)&gt;0,H28-D28,0)</f>
        <v>3263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10766</v>
      </c>
      <c r="D33" s="49">
        <f>D28-D31+D32</f>
        <v>8912</v>
      </c>
      <c r="E33" s="127" t="s">
        <v>353</v>
      </c>
      <c r="F33" s="554" t="s">
        <v>354</v>
      </c>
      <c r="G33" s="53">
        <f>G32-G31+G28</f>
        <v>14719</v>
      </c>
      <c r="H33" s="53">
        <f>H32-H31+H28</f>
        <v>12175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3953</v>
      </c>
      <c r="D34" s="50">
        <f>IF((H33-D33)&gt;0,H33-D33,0)</f>
        <v>3263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395</v>
      </c>
      <c r="D35" s="49">
        <f>D36+D37+D38</f>
        <v>326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395</v>
      </c>
      <c r="D36" s="46">
        <v>326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3558</v>
      </c>
      <c r="D39" s="460">
        <f>+IF((H33-D33-D35)&gt;0,H33-D33-D35,0)</f>
        <v>2937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3558</v>
      </c>
      <c r="D41" s="52">
        <f>IF(H39=0,IF(D39-D40&gt;0,D39-D40+H40,0),IF(H39-H40&lt;0,H40-H39+D39,0))</f>
        <v>2937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14719</v>
      </c>
      <c r="D42" s="53">
        <f>D33+D35+D39</f>
        <v>12175</v>
      </c>
      <c r="E42" s="128" t="s">
        <v>380</v>
      </c>
      <c r="F42" s="129" t="s">
        <v>381</v>
      </c>
      <c r="G42" s="53">
        <f>G39+G33</f>
        <v>14719</v>
      </c>
      <c r="H42" s="53">
        <f>H39+H33</f>
        <v>12175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01.01.2013-31.03.2013г.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f>17238+32+3</f>
        <v>17273</v>
      </c>
      <c r="D10" s="54">
        <v>14253</v>
      </c>
      <c r="E10" s="130"/>
      <c r="F10" s="130"/>
    </row>
    <row r="11" spans="1:13" ht="12">
      <c r="A11" s="332" t="s">
        <v>390</v>
      </c>
      <c r="B11" s="333" t="s">
        <v>391</v>
      </c>
      <c r="C11" s="54">
        <f>-12132-166+4217-227</f>
        <v>-8308</v>
      </c>
      <c r="D11" s="54">
        <f>-10487-111+50+501-368+3262</f>
        <v>-7153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f>-1167-66-1428-514</f>
        <v>-3175</v>
      </c>
      <c r="D13" s="54">
        <f>-623-1272-448</f>
        <v>-2343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f>-617-1175</f>
        <v>-1792</v>
      </c>
      <c r="D14" s="54">
        <f>-640-1511</f>
        <v>-2151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-162</v>
      </c>
      <c r="D15" s="54">
        <v>-92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3836</v>
      </c>
      <c r="D20" s="55">
        <f>SUM(D10:D19)</f>
        <v>2522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-141</v>
      </c>
      <c r="D22" s="54">
        <v>-106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f>106+117</f>
        <v>223</v>
      </c>
      <c r="D23" s="54">
        <v>56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82</v>
      </c>
      <c r="D32" s="55">
        <f>SUM(D22:D31)</f>
        <v>-50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f>514-494</f>
        <v>20</v>
      </c>
      <c r="D36" s="54">
        <f>1308+78</f>
        <v>1386</v>
      </c>
      <c r="E36" s="130"/>
      <c r="F36" s="130"/>
    </row>
    <row r="37" spans="1:6" ht="12">
      <c r="A37" s="332" t="s">
        <v>439</v>
      </c>
      <c r="B37" s="333" t="s">
        <v>440</v>
      </c>
      <c r="C37" s="54">
        <v>-714</v>
      </c>
      <c r="D37" s="54">
        <f>-3197-78</f>
        <v>-3275</v>
      </c>
      <c r="E37" s="130"/>
      <c r="F37" s="130"/>
    </row>
    <row r="38" spans="1:6" ht="12">
      <c r="A38" s="332" t="s">
        <v>441</v>
      </c>
      <c r="B38" s="333" t="s">
        <v>442</v>
      </c>
      <c r="C38" s="54">
        <f>-560-58</f>
        <v>-618</v>
      </c>
      <c r="D38" s="54">
        <f>-501-98</f>
        <v>-599</v>
      </c>
      <c r="E38" s="130"/>
      <c r="F38" s="130"/>
    </row>
    <row r="39" spans="1:6" ht="12">
      <c r="A39" s="332" t="s">
        <v>443</v>
      </c>
      <c r="B39" s="333" t="s">
        <v>444</v>
      </c>
      <c r="C39" s="54">
        <v>-97</v>
      </c>
      <c r="D39" s="54">
        <v>-60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f>72987-76244</f>
        <v>-3257</v>
      </c>
      <c r="D41" s="54">
        <f>62654-62788</f>
        <v>-134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-4666</v>
      </c>
      <c r="D42" s="55">
        <f>SUM(D34:D41)</f>
        <v>-2682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-748</v>
      </c>
      <c r="D43" s="55">
        <f>D42+D32+D20</f>
        <v>-210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3956</v>
      </c>
      <c r="D44" s="132">
        <v>2164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3208</v>
      </c>
      <c r="D45" s="55">
        <f>D44+D43</f>
        <v>1954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3208</v>
      </c>
      <c r="D46" s="56">
        <v>1954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F11" sqref="F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01.01.2013-31.03.2013г.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8693</v>
      </c>
      <c r="J11" s="58">
        <f>'справка №1-БАЛАНС'!H29+'справка №1-БАЛАНС'!H32</f>
        <v>0</v>
      </c>
      <c r="K11" s="60"/>
      <c r="L11" s="344">
        <f>SUM(C11:K11)</f>
        <v>10523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348</v>
      </c>
      <c r="G15" s="61">
        <f t="shared" si="2"/>
        <v>0</v>
      </c>
      <c r="H15" s="61">
        <f t="shared" si="2"/>
        <v>0</v>
      </c>
      <c r="I15" s="61">
        <f t="shared" si="2"/>
        <v>8693</v>
      </c>
      <c r="J15" s="61">
        <f t="shared" si="2"/>
        <v>0</v>
      </c>
      <c r="K15" s="61">
        <f t="shared" si="2"/>
        <v>0</v>
      </c>
      <c r="L15" s="344">
        <f t="shared" si="1"/>
        <v>10523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3558</v>
      </c>
      <c r="J16" s="345">
        <f>+'справка №1-БАЛАНС'!G32</f>
        <v>0</v>
      </c>
      <c r="K16" s="60"/>
      <c r="L16" s="344">
        <f t="shared" si="1"/>
        <v>3558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1482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348</v>
      </c>
      <c r="G29" s="59">
        <f t="shared" si="6"/>
        <v>0</v>
      </c>
      <c r="H29" s="59">
        <f t="shared" si="6"/>
        <v>0</v>
      </c>
      <c r="I29" s="59">
        <f t="shared" si="6"/>
        <v>12251</v>
      </c>
      <c r="J29" s="59">
        <f t="shared" si="6"/>
        <v>0</v>
      </c>
      <c r="K29" s="59">
        <f t="shared" si="6"/>
        <v>0</v>
      </c>
      <c r="L29" s="344">
        <f t="shared" si="1"/>
        <v>14081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1482</v>
      </c>
      <c r="D32" s="59">
        <f t="shared" si="7"/>
        <v>0</v>
      </c>
      <c r="E32" s="59">
        <f t="shared" si="7"/>
        <v>0</v>
      </c>
      <c r="F32" s="59">
        <f t="shared" si="7"/>
        <v>348</v>
      </c>
      <c r="G32" s="59">
        <f t="shared" si="7"/>
        <v>0</v>
      </c>
      <c r="H32" s="59">
        <f t="shared" si="7"/>
        <v>0</v>
      </c>
      <c r="I32" s="59">
        <f t="shared" si="7"/>
        <v>12251</v>
      </c>
      <c r="J32" s="59">
        <f t="shared" si="7"/>
        <v>0</v>
      </c>
      <c r="K32" s="59">
        <f t="shared" si="7"/>
        <v>0</v>
      </c>
      <c r="L32" s="344">
        <f t="shared" si="1"/>
        <v>14081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6">
      <selection activeCell="D28" sqref="D2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01.01.2013-31.03.2013г.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f>1345+552</f>
        <v>1897</v>
      </c>
      <c r="E11" s="189">
        <v>39</v>
      </c>
      <c r="F11" s="189"/>
      <c r="G11" s="74">
        <f t="shared" si="2"/>
        <v>1936</v>
      </c>
      <c r="H11" s="65"/>
      <c r="I11" s="65"/>
      <c r="J11" s="74">
        <f t="shared" si="3"/>
        <v>1936</v>
      </c>
      <c r="K11" s="65">
        <f>989+552</f>
        <v>1541</v>
      </c>
      <c r="L11" s="65">
        <v>40</v>
      </c>
      <c r="M11" s="65"/>
      <c r="N11" s="74">
        <f t="shared" si="4"/>
        <v>1581</v>
      </c>
      <c r="O11" s="65"/>
      <c r="P11" s="65"/>
      <c r="Q11" s="74">
        <f t="shared" si="0"/>
        <v>1581</v>
      </c>
      <c r="R11" s="74">
        <f t="shared" si="1"/>
        <v>355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f>15566+3411</f>
        <v>18977</v>
      </c>
      <c r="E13" s="189">
        <f>454</f>
        <v>454</v>
      </c>
      <c r="F13" s="189">
        <f>106+91</f>
        <v>197</v>
      </c>
      <c r="G13" s="74">
        <f t="shared" si="2"/>
        <v>19234</v>
      </c>
      <c r="H13" s="65"/>
      <c r="I13" s="65"/>
      <c r="J13" s="74">
        <f t="shared" si="3"/>
        <v>19234</v>
      </c>
      <c r="K13" s="65">
        <f>9780+3374</f>
        <v>13154</v>
      </c>
      <c r="L13" s="65">
        <f>412+13</f>
        <v>425</v>
      </c>
      <c r="M13" s="65">
        <f>104+89</f>
        <v>193</v>
      </c>
      <c r="N13" s="74">
        <f t="shared" si="4"/>
        <v>13386</v>
      </c>
      <c r="O13" s="65"/>
      <c r="P13" s="65"/>
      <c r="Q13" s="74">
        <f t="shared" si="0"/>
        <v>13386</v>
      </c>
      <c r="R13" s="74">
        <f t="shared" si="1"/>
        <v>5848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f>2047+167+215</f>
        <v>2429</v>
      </c>
      <c r="E14" s="189">
        <v>163</v>
      </c>
      <c r="F14" s="189"/>
      <c r="G14" s="74">
        <f t="shared" si="2"/>
        <v>2592</v>
      </c>
      <c r="H14" s="65"/>
      <c r="I14" s="65"/>
      <c r="J14" s="74">
        <f t="shared" si="3"/>
        <v>2592</v>
      </c>
      <c r="K14" s="65">
        <f>676+149+145</f>
        <v>970</v>
      </c>
      <c r="L14" s="65">
        <f>78+1+6</f>
        <v>85</v>
      </c>
      <c r="M14" s="65"/>
      <c r="N14" s="74">
        <f t="shared" si="4"/>
        <v>1055</v>
      </c>
      <c r="O14" s="65"/>
      <c r="P14" s="65"/>
      <c r="Q14" s="74">
        <f t="shared" si="0"/>
        <v>1055</v>
      </c>
      <c r="R14" s="74">
        <f t="shared" si="1"/>
        <v>1537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f>2934+455</f>
        <v>3389</v>
      </c>
      <c r="E16" s="189">
        <v>117</v>
      </c>
      <c r="F16" s="189"/>
      <c r="G16" s="74">
        <f t="shared" si="2"/>
        <v>3506</v>
      </c>
      <c r="H16" s="65"/>
      <c r="I16" s="65"/>
      <c r="J16" s="74">
        <f t="shared" si="3"/>
        <v>3506</v>
      </c>
      <c r="K16" s="65">
        <f>2323+452</f>
        <v>2775</v>
      </c>
      <c r="L16" s="65">
        <f>76+1</f>
        <v>77</v>
      </c>
      <c r="M16" s="65"/>
      <c r="N16" s="74">
        <f t="shared" si="4"/>
        <v>2852</v>
      </c>
      <c r="O16" s="65"/>
      <c r="P16" s="65"/>
      <c r="Q16" s="74">
        <f aca="true" t="shared" si="5" ref="Q16:Q25">N16+O16-P16</f>
        <v>2852</v>
      </c>
      <c r="R16" s="74">
        <f aca="true" t="shared" si="6" ref="R16:R25">J16-Q16</f>
        <v>654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26692</v>
      </c>
      <c r="E17" s="194">
        <f>SUM(E9:E16)</f>
        <v>773</v>
      </c>
      <c r="F17" s="194">
        <f>SUM(F9:F16)</f>
        <v>197</v>
      </c>
      <c r="G17" s="74">
        <f t="shared" si="2"/>
        <v>27268</v>
      </c>
      <c r="H17" s="75">
        <f>SUM(H9:H16)</f>
        <v>0</v>
      </c>
      <c r="I17" s="75">
        <f>SUM(I9:I16)</f>
        <v>0</v>
      </c>
      <c r="J17" s="74">
        <f t="shared" si="3"/>
        <v>27268</v>
      </c>
      <c r="K17" s="75">
        <f>SUM(K9:K16)</f>
        <v>18440</v>
      </c>
      <c r="L17" s="75">
        <f>SUM(L9:L16)</f>
        <v>627</v>
      </c>
      <c r="M17" s="75">
        <f>SUM(M9:M16)</f>
        <v>193</v>
      </c>
      <c r="N17" s="74">
        <f t="shared" si="4"/>
        <v>18874</v>
      </c>
      <c r="O17" s="75">
        <f>SUM(O9:O16)</f>
        <v>0</v>
      </c>
      <c r="P17" s="75">
        <f>SUM(P9:P16)</f>
        <v>0</v>
      </c>
      <c r="Q17" s="74">
        <f t="shared" si="5"/>
        <v>18874</v>
      </c>
      <c r="R17" s="74">
        <f t="shared" si="6"/>
        <v>8394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f>1730+267</f>
        <v>1997</v>
      </c>
      <c r="E22" s="189">
        <v>106</v>
      </c>
      <c r="F22" s="189"/>
      <c r="G22" s="74">
        <f t="shared" si="2"/>
        <v>2103</v>
      </c>
      <c r="H22" s="65"/>
      <c r="I22" s="65"/>
      <c r="J22" s="74">
        <f t="shared" si="3"/>
        <v>2103</v>
      </c>
      <c r="K22" s="65">
        <f>1352+267</f>
        <v>1619</v>
      </c>
      <c r="L22" s="65">
        <v>87</v>
      </c>
      <c r="M22" s="65"/>
      <c r="N22" s="74">
        <f t="shared" si="4"/>
        <v>1706</v>
      </c>
      <c r="O22" s="65"/>
      <c r="P22" s="65"/>
      <c r="Q22" s="74">
        <f t="shared" si="5"/>
        <v>1706</v>
      </c>
      <c r="R22" s="74">
        <f t="shared" si="6"/>
        <v>397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1997</v>
      </c>
      <c r="E25" s="190">
        <f aca="true" t="shared" si="7" ref="E25:P25">SUM(E21:E24)</f>
        <v>106</v>
      </c>
      <c r="F25" s="190">
        <f t="shared" si="7"/>
        <v>0</v>
      </c>
      <c r="G25" s="67">
        <f t="shared" si="2"/>
        <v>2103</v>
      </c>
      <c r="H25" s="66">
        <f t="shared" si="7"/>
        <v>0</v>
      </c>
      <c r="I25" s="66">
        <f t="shared" si="7"/>
        <v>0</v>
      </c>
      <c r="J25" s="67">
        <f t="shared" si="3"/>
        <v>2103</v>
      </c>
      <c r="K25" s="66">
        <f t="shared" si="7"/>
        <v>1619</v>
      </c>
      <c r="L25" s="66">
        <f t="shared" si="7"/>
        <v>87</v>
      </c>
      <c r="M25" s="66">
        <f t="shared" si="7"/>
        <v>0</v>
      </c>
      <c r="N25" s="67">
        <f t="shared" si="4"/>
        <v>1706</v>
      </c>
      <c r="O25" s="66">
        <f t="shared" si="7"/>
        <v>0</v>
      </c>
      <c r="P25" s="66">
        <f t="shared" si="7"/>
        <v>0</v>
      </c>
      <c r="Q25" s="67">
        <f t="shared" si="5"/>
        <v>1706</v>
      </c>
      <c r="R25" s="67">
        <f t="shared" si="6"/>
        <v>397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28689</v>
      </c>
      <c r="E40" s="438">
        <f>E17+E18+E19+E25+E38+E39</f>
        <v>879</v>
      </c>
      <c r="F40" s="438">
        <f aca="true" t="shared" si="13" ref="F40:R40">F17+F18+F19+F25+F38+F39</f>
        <v>197</v>
      </c>
      <c r="G40" s="438">
        <f t="shared" si="13"/>
        <v>29371</v>
      </c>
      <c r="H40" s="438">
        <f t="shared" si="13"/>
        <v>0</v>
      </c>
      <c r="I40" s="438">
        <f t="shared" si="13"/>
        <v>0</v>
      </c>
      <c r="J40" s="438">
        <f t="shared" si="13"/>
        <v>29371</v>
      </c>
      <c r="K40" s="438">
        <f t="shared" si="13"/>
        <v>20059</v>
      </c>
      <c r="L40" s="438">
        <f t="shared" si="13"/>
        <v>714</v>
      </c>
      <c r="M40" s="438">
        <f t="shared" si="13"/>
        <v>193</v>
      </c>
      <c r="N40" s="438">
        <f t="shared" si="13"/>
        <v>20580</v>
      </c>
      <c r="O40" s="438">
        <f t="shared" si="13"/>
        <v>0</v>
      </c>
      <c r="P40" s="438">
        <f t="shared" si="13"/>
        <v>0</v>
      </c>
      <c r="Q40" s="438">
        <f t="shared" si="13"/>
        <v>20580</v>
      </c>
      <c r="R40" s="438">
        <f t="shared" si="13"/>
        <v>8791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7">
      <selection activeCell="D113" sqref="D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01.01.2013-31.03.2013г.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206</v>
      </c>
      <c r="D21" s="108">
        <v>206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5282</v>
      </c>
      <c r="D24" s="119">
        <f>SUM(D25:D27)</f>
        <v>5282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3252</v>
      </c>
      <c r="D25" s="108">
        <v>3252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2030</v>
      </c>
      <c r="D26" s="108">
        <v>2030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6375</v>
      </c>
      <c r="D28" s="108">
        <v>6375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321</v>
      </c>
      <c r="D29" s="108">
        <v>321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38</v>
      </c>
      <c r="D38" s="105">
        <f>SUM(D39:D42)</f>
        <v>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38</v>
      </c>
      <c r="D42" s="108">
        <v>38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12016</v>
      </c>
      <c r="D43" s="104">
        <f>D24+D28+D29+D31+D30+D32+D33+D38</f>
        <v>12016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12222</v>
      </c>
      <c r="D44" s="103">
        <f>D43+D21+D19+D9</f>
        <v>12222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3336</v>
      </c>
      <c r="D64" s="108"/>
      <c r="E64" s="119">
        <f t="shared" si="1"/>
        <v>3336</v>
      </c>
      <c r="F64" s="110"/>
    </row>
    <row r="65" spans="1:6" ht="12">
      <c r="A65" s="396" t="s">
        <v>712</v>
      </c>
      <c r="B65" s="397" t="s">
        <v>713</v>
      </c>
      <c r="C65" s="109">
        <v>3336</v>
      </c>
      <c r="D65" s="109"/>
      <c r="E65" s="119">
        <f t="shared" si="1"/>
        <v>3336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3336</v>
      </c>
      <c r="D66" s="103">
        <f>D52+D56+D61+D62+D63+D64</f>
        <v>0</v>
      </c>
      <c r="E66" s="119">
        <f t="shared" si="1"/>
        <v>3336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166</v>
      </c>
      <c r="D71" s="105">
        <f>SUM(D72:D74)</f>
        <v>166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166</v>
      </c>
      <c r="D74" s="108">
        <v>166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1834</v>
      </c>
      <c r="D75" s="103">
        <f>D76+D78</f>
        <v>1834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1834</v>
      </c>
      <c r="D78" s="108">
        <v>1834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5284</v>
      </c>
      <c r="D85" s="104">
        <f>SUM(D86:D90)+D94</f>
        <v>5284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2328</v>
      </c>
      <c r="D87" s="108">
        <v>2328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44</v>
      </c>
      <c r="D88" s="108">
        <v>44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1628</v>
      </c>
      <c r="D89" s="108">
        <v>1628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873</v>
      </c>
      <c r="D90" s="103">
        <f>SUM(D91:D93)</f>
        <v>873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395</v>
      </c>
      <c r="D91" s="108">
        <v>395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391</v>
      </c>
      <c r="D92" s="108">
        <v>391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87</v>
      </c>
      <c r="D93" s="108">
        <v>87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411</v>
      </c>
      <c r="D94" s="108">
        <v>411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562</v>
      </c>
      <c r="D95" s="108">
        <v>562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7846</v>
      </c>
      <c r="D96" s="104">
        <f>D85+D80+D75+D71+D95</f>
        <v>7846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11182</v>
      </c>
      <c r="D97" s="104">
        <f>D96+D68+D66</f>
        <v>7846</v>
      </c>
      <c r="E97" s="104">
        <f>E96+E68+E66</f>
        <v>3336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01.01.2013-31.03.2013г.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01.01.2013-31.03.2013г.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Kris</cp:lastModifiedBy>
  <cp:lastPrinted>2013-04-24T12:36:52Z</cp:lastPrinted>
  <dcterms:created xsi:type="dcterms:W3CDTF">2000-06-29T12:02:40Z</dcterms:created>
  <dcterms:modified xsi:type="dcterms:W3CDTF">2013-04-26T16:14:30Z</dcterms:modified>
  <cp:category/>
  <cp:version/>
  <cp:contentType/>
  <cp:contentStatus/>
</cp:coreProperties>
</file>