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peedy\Annual reports\FS Q2 18\"/>
    </mc:Choice>
  </mc:AlternateContent>
  <bookViews>
    <workbookView xWindow="0" yWindow="0" windowWidth="20496" windowHeight="8340" tabRatio="814" firstSheet="1" activeTab="3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62913" fullCalcOnLoad="1" iterateDelta="1E-4"/>
</workbook>
</file>

<file path=xl/calcChain.xml><?xml version="1.0" encoding="utf-8"?>
<calcChain xmlns="http://schemas.openxmlformats.org/spreadsheetml/2006/main">
  <c r="C89" i="4" l="1"/>
  <c r="C75" i="4"/>
  <c r="C69" i="4"/>
  <c r="C78" i="9"/>
  <c r="C80" i="9"/>
  <c r="C94" i="9"/>
  <c r="C61" i="9"/>
  <c r="H1015" i="2"/>
  <c r="C40" i="6"/>
  <c r="C43" i="6"/>
  <c r="H211" i="2"/>
  <c r="G59" i="4"/>
  <c r="G45" i="4"/>
  <c r="H66" i="2"/>
  <c r="C19" i="4"/>
  <c r="AA3" i="1"/>
  <c r="B33" i="10"/>
  <c r="AA2" i="1"/>
  <c r="B111" i="9"/>
  <c r="B98" i="4"/>
  <c r="AA1" i="1"/>
  <c r="C73" i="2"/>
  <c r="H8" i="2"/>
  <c r="B56" i="6"/>
  <c r="A2" i="14"/>
  <c r="E14" i="14"/>
  <c r="E13" i="14"/>
  <c r="C15" i="14"/>
  <c r="C14" i="14"/>
  <c r="D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D12" i="14"/>
  <c r="H27" i="10"/>
  <c r="H1280" i="2"/>
  <c r="G27" i="10"/>
  <c r="H1266" i="2"/>
  <c r="F27" i="10"/>
  <c r="H1252" i="2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/>
  <c r="H18" i="10"/>
  <c r="H1272" i="2"/>
  <c r="G18" i="10"/>
  <c r="H1258" i="2"/>
  <c r="F18" i="10"/>
  <c r="H1244" i="2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E97" i="9"/>
  <c r="H1134" i="2"/>
  <c r="E96" i="9"/>
  <c r="H1133" i="2"/>
  <c r="E95" i="9"/>
  <c r="H1132" i="2"/>
  <c r="E94" i="9"/>
  <c r="H1131" i="2"/>
  <c r="E93" i="9"/>
  <c r="F92" i="9"/>
  <c r="D92" i="9"/>
  <c r="D87" i="9"/>
  <c r="C92" i="9"/>
  <c r="C87" i="9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H1121" i="2"/>
  <c r="E83" i="9"/>
  <c r="H1120" i="2"/>
  <c r="F82" i="9"/>
  <c r="H1162" i="2"/>
  <c r="D82" i="9"/>
  <c r="H1076" i="2"/>
  <c r="C82" i="9"/>
  <c r="E81" i="9"/>
  <c r="H1118" i="2"/>
  <c r="E80" i="9"/>
  <c r="E77" i="9"/>
  <c r="H1117" i="2"/>
  <c r="E79" i="9"/>
  <c r="H1116" i="2"/>
  <c r="E78" i="9"/>
  <c r="H1115" i="2"/>
  <c r="F77" i="9"/>
  <c r="H1157" i="2"/>
  <c r="D77" i="9"/>
  <c r="H1071" i="2"/>
  <c r="C77" i="9"/>
  <c r="H1028" i="2"/>
  <c r="E76" i="9"/>
  <c r="E75" i="9"/>
  <c r="H1112" i="2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E57" i="9"/>
  <c r="H1097" i="2"/>
  <c r="E56" i="9"/>
  <c r="H1096" i="2"/>
  <c r="E55" i="9"/>
  <c r="H1095" i="2"/>
  <c r="F54" i="9"/>
  <c r="H1137" i="2"/>
  <c r="F68" i="9"/>
  <c r="H1151" i="2"/>
  <c r="D54" i="9"/>
  <c r="C54" i="9"/>
  <c r="H1008" i="2"/>
  <c r="E44" i="9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/>
  <c r="E36" i="9"/>
  <c r="H997" i="2"/>
  <c r="E35" i="9"/>
  <c r="H996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H989" i="2"/>
  <c r="E27" i="9"/>
  <c r="D26" i="9"/>
  <c r="H955" i="2"/>
  <c r="C26" i="9"/>
  <c r="H923" i="2"/>
  <c r="E23" i="9"/>
  <c r="H986" i="2"/>
  <c r="E22" i="9"/>
  <c r="E20" i="9"/>
  <c r="H984" i="2"/>
  <c r="E19" i="9"/>
  <c r="H983" i="2"/>
  <c r="D18" i="9"/>
  <c r="C18" i="9"/>
  <c r="E18" i="9"/>
  <c r="H918" i="2"/>
  <c r="E17" i="9"/>
  <c r="H981" i="2"/>
  <c r="E16" i="9"/>
  <c r="H980" i="2"/>
  <c r="E15" i="9"/>
  <c r="H979" i="2"/>
  <c r="E14" i="9"/>
  <c r="H978" i="2"/>
  <c r="D13" i="9"/>
  <c r="C13" i="9"/>
  <c r="E11" i="9"/>
  <c r="H976" i="2"/>
  <c r="N41" i="8"/>
  <c r="G41" i="8"/>
  <c r="H579" i="2"/>
  <c r="N39" i="8"/>
  <c r="H787" i="2"/>
  <c r="G39" i="8"/>
  <c r="H577" i="2"/>
  <c r="N38" i="8"/>
  <c r="H786" i="2"/>
  <c r="G38" i="8"/>
  <c r="H576" i="2"/>
  <c r="N37" i="8"/>
  <c r="H785" i="2"/>
  <c r="Q37" i="8"/>
  <c r="H875" i="2"/>
  <c r="G37" i="8"/>
  <c r="H575" i="2"/>
  <c r="N36" i="8"/>
  <c r="H784" i="2"/>
  <c r="G36" i="8"/>
  <c r="H574" i="2"/>
  <c r="N35" i="8"/>
  <c r="H783" i="2"/>
  <c r="G35" i="8"/>
  <c r="H573" i="2"/>
  <c r="P34" i="8"/>
  <c r="H842" i="2"/>
  <c r="O34" i="8"/>
  <c r="H812" i="2"/>
  <c r="M34" i="8"/>
  <c r="H752" i="2"/>
  <c r="L34" i="8"/>
  <c r="K34" i="8"/>
  <c r="I34" i="8"/>
  <c r="H632" i="2"/>
  <c r="H34" i="8"/>
  <c r="F34" i="8"/>
  <c r="E34" i="8"/>
  <c r="D34" i="8"/>
  <c r="H482" i="2"/>
  <c r="N33" i="8"/>
  <c r="G33" i="8"/>
  <c r="N32" i="8"/>
  <c r="H780" i="2"/>
  <c r="G32" i="8"/>
  <c r="H570" i="2"/>
  <c r="N31" i="8"/>
  <c r="H779" i="2"/>
  <c r="G31" i="8"/>
  <c r="H569" i="2"/>
  <c r="N30" i="8"/>
  <c r="H778" i="2"/>
  <c r="Q30" i="8"/>
  <c r="H868" i="2"/>
  <c r="G30" i="8"/>
  <c r="P29" i="8"/>
  <c r="H837" i="2"/>
  <c r="O29" i="8"/>
  <c r="H807" i="2"/>
  <c r="M29" i="8"/>
  <c r="M40" i="8"/>
  <c r="L29" i="8"/>
  <c r="H717" i="2"/>
  <c r="K29" i="8"/>
  <c r="H687" i="2"/>
  <c r="I29" i="8"/>
  <c r="I40" i="8"/>
  <c r="H638" i="2"/>
  <c r="H29" i="8"/>
  <c r="H597" i="2"/>
  <c r="F29" i="8"/>
  <c r="H537" i="2"/>
  <c r="E29" i="8"/>
  <c r="H507" i="2"/>
  <c r="D29" i="8"/>
  <c r="P27" i="8"/>
  <c r="H836" i="2"/>
  <c r="O27" i="8"/>
  <c r="H806" i="2"/>
  <c r="M27" i="8"/>
  <c r="H746" i="2"/>
  <c r="L27" i="8"/>
  <c r="H716" i="2"/>
  <c r="K27" i="8"/>
  <c r="H686" i="2"/>
  <c r="I27" i="8"/>
  <c r="H626" i="2"/>
  <c r="H27" i="8"/>
  <c r="H596" i="2"/>
  <c r="F27" i="8"/>
  <c r="E27" i="8"/>
  <c r="H506" i="2"/>
  <c r="D27" i="8"/>
  <c r="H476" i="2"/>
  <c r="N26" i="8"/>
  <c r="H775" i="2"/>
  <c r="G26" i="8"/>
  <c r="J26" i="8"/>
  <c r="H655" i="2"/>
  <c r="N25" i="8"/>
  <c r="Q25" i="8"/>
  <c r="H864" i="2"/>
  <c r="H774" i="2"/>
  <c r="G25" i="8"/>
  <c r="H564" i="2"/>
  <c r="N24" i="8"/>
  <c r="H773" i="2"/>
  <c r="G24" i="8"/>
  <c r="J24" i="8"/>
  <c r="H653" i="2"/>
  <c r="N23" i="8"/>
  <c r="Q23" i="8"/>
  <c r="H862" i="2"/>
  <c r="G23" i="8"/>
  <c r="H562" i="2"/>
  <c r="N22" i="8"/>
  <c r="Q22" i="8"/>
  <c r="G22" i="8"/>
  <c r="J22" i="8"/>
  <c r="N21" i="8"/>
  <c r="H771" i="2"/>
  <c r="G21" i="8"/>
  <c r="J21" i="8"/>
  <c r="N20" i="8"/>
  <c r="H770" i="2"/>
  <c r="Q20" i="8"/>
  <c r="H860" i="2"/>
  <c r="G20" i="8"/>
  <c r="P19" i="8"/>
  <c r="H829" i="2"/>
  <c r="O19" i="8"/>
  <c r="M19" i="8"/>
  <c r="H739" i="2"/>
  <c r="L19" i="8"/>
  <c r="L42" i="8"/>
  <c r="H730" i="2"/>
  <c r="K19" i="8"/>
  <c r="H679" i="2"/>
  <c r="I19" i="8"/>
  <c r="H619" i="2"/>
  <c r="H19" i="8"/>
  <c r="H42" i="8"/>
  <c r="H610" i="2"/>
  <c r="H589" i="2"/>
  <c r="F19" i="8"/>
  <c r="F42" i="8"/>
  <c r="H550" i="2"/>
  <c r="E19" i="8"/>
  <c r="D19" i="8"/>
  <c r="H469" i="2"/>
  <c r="N18" i="8"/>
  <c r="Q18" i="8"/>
  <c r="H858" i="2"/>
  <c r="G18" i="8"/>
  <c r="J18" i="8"/>
  <c r="H648" i="2"/>
  <c r="N17" i="8"/>
  <c r="G17" i="8"/>
  <c r="J17" i="8"/>
  <c r="H557" i="2"/>
  <c r="N16" i="8"/>
  <c r="H766" i="2"/>
  <c r="G16" i="8"/>
  <c r="H556" i="2"/>
  <c r="N15" i="8"/>
  <c r="Q15" i="8"/>
  <c r="H855" i="2"/>
  <c r="G15" i="8"/>
  <c r="J15" i="8"/>
  <c r="H645" i="2"/>
  <c r="N14" i="8"/>
  <c r="H764" i="2"/>
  <c r="G14" i="8"/>
  <c r="H554" i="2"/>
  <c r="N13" i="8"/>
  <c r="Q13" i="8"/>
  <c r="H853" i="2"/>
  <c r="H763" i="2"/>
  <c r="G13" i="8"/>
  <c r="J13" i="8"/>
  <c r="H553" i="2"/>
  <c r="N12" i="8"/>
  <c r="H762" i="2"/>
  <c r="G12" i="8"/>
  <c r="H552" i="2"/>
  <c r="N11" i="8"/>
  <c r="Q11" i="8"/>
  <c r="H851" i="2"/>
  <c r="H761" i="2"/>
  <c r="G11" i="8"/>
  <c r="H551" i="2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26" i="7"/>
  <c r="H341" i="2"/>
  <c r="G26" i="7"/>
  <c r="L26" i="7"/>
  <c r="H42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L19" i="7"/>
  <c r="H422" i="2"/>
  <c r="H356" i="2"/>
  <c r="H19" i="7"/>
  <c r="H334" i="2"/>
  <c r="G19" i="7"/>
  <c r="H312" i="2"/>
  <c r="F19" i="7"/>
  <c r="H290" i="2"/>
  <c r="E19" i="7"/>
  <c r="H268" i="2"/>
  <c r="D19" i="7"/>
  <c r="C19" i="7"/>
  <c r="H224" i="2"/>
  <c r="J18" i="7"/>
  <c r="H377" i="2"/>
  <c r="I18" i="7"/>
  <c r="H355" i="2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C14" i="7"/>
  <c r="H219" i="2"/>
  <c r="M13" i="7"/>
  <c r="H438" i="2"/>
  <c r="J13" i="7"/>
  <c r="H372" i="2"/>
  <c r="I13" i="7"/>
  <c r="I17" i="7"/>
  <c r="H350" i="2"/>
  <c r="G13" i="7"/>
  <c r="F13" i="7"/>
  <c r="H284" i="2"/>
  <c r="E13" i="7"/>
  <c r="E17" i="7"/>
  <c r="D13" i="7"/>
  <c r="H240" i="2"/>
  <c r="D43" i="6"/>
  <c r="D33" i="6"/>
  <c r="C33" i="6"/>
  <c r="H202" i="2"/>
  <c r="D21" i="6"/>
  <c r="C21" i="6"/>
  <c r="H191" i="2"/>
  <c r="D38" i="5"/>
  <c r="C38" i="5"/>
  <c r="H149" i="2"/>
  <c r="D29" i="5"/>
  <c r="C29" i="5"/>
  <c r="H142" i="2"/>
  <c r="H27" i="5"/>
  <c r="G27" i="5"/>
  <c r="H169" i="2"/>
  <c r="D22" i="5"/>
  <c r="D31" i="5"/>
  <c r="C22" i="5"/>
  <c r="H137" i="2"/>
  <c r="H16" i="5"/>
  <c r="G16" i="5"/>
  <c r="H161" i="2"/>
  <c r="D3" i="12"/>
  <c r="D92" i="4"/>
  <c r="C9" i="14"/>
  <c r="D9" i="14"/>
  <c r="D79" i="4"/>
  <c r="D85" i="4"/>
  <c r="C79" i="4"/>
  <c r="H58" i="2"/>
  <c r="D76" i="4"/>
  <c r="D94" i="4"/>
  <c r="C76" i="4"/>
  <c r="H57" i="2"/>
  <c r="D65" i="4"/>
  <c r="C65" i="4"/>
  <c r="H48" i="2"/>
  <c r="H61" i="4"/>
  <c r="H71" i="4"/>
  <c r="H79" i="4"/>
  <c r="G61" i="4"/>
  <c r="H110" i="2"/>
  <c r="D52" i="4"/>
  <c r="C52" i="4"/>
  <c r="H38" i="2"/>
  <c r="H50" i="4"/>
  <c r="H56" i="4"/>
  <c r="G50" i="4"/>
  <c r="G56" i="4"/>
  <c r="H107" i="2"/>
  <c r="D40" i="4"/>
  <c r="C40" i="4"/>
  <c r="H27" i="2"/>
  <c r="D35" i="4"/>
  <c r="D46" i="4"/>
  <c r="C35" i="4"/>
  <c r="H22" i="2"/>
  <c r="D33" i="4"/>
  <c r="C33" i="4"/>
  <c r="H21" i="2"/>
  <c r="H28" i="4"/>
  <c r="H34" i="4"/>
  <c r="G28" i="4"/>
  <c r="H87" i="2"/>
  <c r="G34" i="4"/>
  <c r="H93" i="2"/>
  <c r="D28" i="4"/>
  <c r="C28" i="4"/>
  <c r="H18" i="2"/>
  <c r="H22" i="4"/>
  <c r="H26" i="4"/>
  <c r="G22" i="4"/>
  <c r="H82" i="2"/>
  <c r="G26" i="4"/>
  <c r="H86" i="2"/>
  <c r="D20" i="4"/>
  <c r="C20" i="4"/>
  <c r="H11" i="2"/>
  <c r="H18" i="4"/>
  <c r="C13" i="7"/>
  <c r="G18" i="4"/>
  <c r="H79" i="2"/>
  <c r="N29" i="8"/>
  <c r="G29" i="8"/>
  <c r="J29" i="8"/>
  <c r="C46" i="4"/>
  <c r="H33" i="2"/>
  <c r="C85" i="4"/>
  <c r="H651" i="2"/>
  <c r="J23" i="8"/>
  <c r="R23" i="8"/>
  <c r="H892" i="2"/>
  <c r="H477" i="2"/>
  <c r="H945" i="2"/>
  <c r="D21" i="9"/>
  <c r="H953" i="2"/>
  <c r="H1192" i="2"/>
  <c r="F107" i="9"/>
  <c r="H1195" i="2"/>
  <c r="H627" i="2"/>
  <c r="H1033" i="2"/>
  <c r="H560" i="2"/>
  <c r="J20" i="8"/>
  <c r="J25" i="8"/>
  <c r="R25" i="8"/>
  <c r="H894" i="2"/>
  <c r="H1172" i="2"/>
  <c r="F87" i="9"/>
  <c r="H1167" i="2"/>
  <c r="Q21" i="8"/>
  <c r="H861" i="2"/>
  <c r="H747" i="2"/>
  <c r="H950" i="2"/>
  <c r="O40" i="8"/>
  <c r="H818" i="2"/>
  <c r="I27" i="10"/>
  <c r="H1294" i="2"/>
  <c r="H561" i="2"/>
  <c r="H772" i="2"/>
  <c r="H650" i="2"/>
  <c r="D40" i="8"/>
  <c r="E15" i="14"/>
  <c r="D15" i="14"/>
  <c r="H64" i="2"/>
  <c r="H266" i="2"/>
  <c r="J17" i="7"/>
  <c r="J31" i="7"/>
  <c r="H390" i="2"/>
  <c r="D13" i="14"/>
  <c r="C96" i="2"/>
  <c r="C117" i="2"/>
  <c r="C70" i="2"/>
  <c r="C50" i="2"/>
  <c r="C1291" i="2"/>
  <c r="C1276" i="2"/>
  <c r="C1234" i="2"/>
  <c r="C1219" i="2"/>
  <c r="C1175" i="2"/>
  <c r="C1162" i="2"/>
  <c r="C1123" i="2"/>
  <c r="C1112" i="2"/>
  <c r="C1080" i="2"/>
  <c r="C1069" i="2"/>
  <c r="C1037" i="2"/>
  <c r="C1027" i="2"/>
  <c r="C995" i="2"/>
  <c r="C984" i="2"/>
  <c r="C952" i="2"/>
  <c r="C941" i="2"/>
  <c r="C908" i="2"/>
  <c r="C898" i="2"/>
  <c r="C866" i="2"/>
  <c r="C855" i="2"/>
  <c r="C823" i="2"/>
  <c r="C813" i="2"/>
  <c r="C780" i="2"/>
  <c r="C770" i="2"/>
  <c r="C737" i="2"/>
  <c r="C707" i="2"/>
  <c r="C618" i="2"/>
  <c r="C588" i="2"/>
  <c r="C515" i="2"/>
  <c r="C496" i="2"/>
  <c r="C450" i="2"/>
  <c r="C437" i="2"/>
  <c r="C392" i="2"/>
  <c r="C380" i="2"/>
  <c r="C347" i="2"/>
  <c r="C334" i="2"/>
  <c r="C301" i="2"/>
  <c r="C291" i="2"/>
  <c r="C258" i="2"/>
  <c r="C248" i="2"/>
  <c r="C213" i="2"/>
  <c r="C200" i="2"/>
  <c r="C731" i="2"/>
  <c r="C724" i="2"/>
  <c r="C699" i="2"/>
  <c r="C691" i="2"/>
  <c r="C666" i="2"/>
  <c r="C656" i="2"/>
  <c r="C631" i="2"/>
  <c r="C624" i="2"/>
  <c r="C598" i="2"/>
  <c r="C591" i="2"/>
  <c r="C565" i="2"/>
  <c r="C556" i="2"/>
  <c r="C530" i="2"/>
  <c r="C522" i="2"/>
  <c r="C498" i="2"/>
  <c r="C497" i="2"/>
  <c r="C483" i="2"/>
  <c r="C480" i="2"/>
  <c r="C466" i="2"/>
  <c r="C464" i="2"/>
  <c r="C447" i="2"/>
  <c r="C446" i="2"/>
  <c r="C431" i="2"/>
  <c r="C428" i="2"/>
  <c r="C415" i="2"/>
  <c r="C413" i="2"/>
  <c r="C397" i="2"/>
  <c r="C396" i="2"/>
  <c r="C381" i="2"/>
  <c r="C377" i="2"/>
  <c r="C359" i="2"/>
  <c r="C358" i="2"/>
  <c r="C338" i="2"/>
  <c r="C337" i="2"/>
  <c r="C319" i="2"/>
  <c r="C315" i="2"/>
  <c r="C298" i="2"/>
  <c r="C296" i="2"/>
  <c r="C277" i="2"/>
  <c r="C275" i="2"/>
  <c r="C257" i="2"/>
  <c r="C253" i="2"/>
  <c r="C236" i="2"/>
  <c r="C234" i="2"/>
  <c r="C214" i="2"/>
  <c r="C212" i="2"/>
  <c r="C196" i="2"/>
  <c r="C192" i="2"/>
  <c r="H758" i="2"/>
  <c r="H652" i="2"/>
  <c r="Q31" i="8"/>
  <c r="H869" i="2"/>
  <c r="Q32" i="8"/>
  <c r="H870" i="2"/>
  <c r="J35" i="8"/>
  <c r="J36" i="8"/>
  <c r="Q39" i="8"/>
  <c r="H877" i="2"/>
  <c r="B52" i="5"/>
  <c r="B40" i="7"/>
  <c r="B113" i="9"/>
  <c r="Q14" i="8"/>
  <c r="H854" i="2"/>
  <c r="J31" i="8"/>
  <c r="R31" i="8"/>
  <c r="H899" i="2"/>
  <c r="J39" i="8"/>
  <c r="R39" i="8"/>
  <c r="H907" i="2"/>
  <c r="B31" i="10"/>
  <c r="H663" i="2"/>
  <c r="C47" i="8"/>
  <c r="M31" i="7"/>
  <c r="M34" i="7"/>
  <c r="H459" i="2"/>
  <c r="H488" i="2"/>
  <c r="H536" i="2"/>
  <c r="E31" i="7"/>
  <c r="E34" i="7"/>
  <c r="H283" i="2"/>
  <c r="M17" i="7"/>
  <c r="H442" i="2"/>
  <c r="F98" i="9"/>
  <c r="J14" i="8"/>
  <c r="R14" i="8"/>
  <c r="H884" i="2"/>
  <c r="H571" i="2"/>
  <c r="J33" i="8"/>
  <c r="H512" i="2"/>
  <c r="E40" i="8"/>
  <c r="D68" i="9"/>
  <c r="H1065" i="2"/>
  <c r="H1113" i="2"/>
  <c r="H246" i="2"/>
  <c r="E82" i="9"/>
  <c r="H1119" i="2"/>
  <c r="H17" i="7"/>
  <c r="H332" i="2"/>
  <c r="H777" i="2"/>
  <c r="Q29" i="8"/>
  <c r="H241" i="2"/>
  <c r="Q12" i="8"/>
  <c r="H852" i="2"/>
  <c r="H767" i="2"/>
  <c r="Q17" i="8"/>
  <c r="H568" i="2"/>
  <c r="J30" i="8"/>
  <c r="H658" i="2"/>
  <c r="H722" i="2"/>
  <c r="L40" i="8"/>
  <c r="Q38" i="8"/>
  <c r="H876" i="2"/>
  <c r="J11" i="8"/>
  <c r="R11" i="8"/>
  <c r="H881" i="2"/>
  <c r="J12" i="8"/>
  <c r="H642" i="2"/>
  <c r="R22" i="8"/>
  <c r="H602" i="2"/>
  <c r="H40" i="8"/>
  <c r="H608" i="2"/>
  <c r="J37" i="8"/>
  <c r="J38" i="8"/>
  <c r="R21" i="8"/>
  <c r="H867" i="2"/>
  <c r="H644" i="2"/>
  <c r="H456" i="2"/>
  <c r="H891" i="2"/>
  <c r="H666" i="2"/>
  <c r="R38" i="8"/>
  <c r="H906" i="2"/>
  <c r="H641" i="2"/>
  <c r="H857" i="2"/>
  <c r="H728" i="2"/>
  <c r="H661" i="2"/>
  <c r="E54" i="9"/>
  <c r="H1094" i="2"/>
  <c r="H1051" i="2"/>
  <c r="F17" i="7"/>
  <c r="F31" i="7"/>
  <c r="D17" i="7"/>
  <c r="H665" i="2"/>
  <c r="R37" i="8"/>
  <c r="H905" i="2"/>
  <c r="H31" i="7"/>
  <c r="H34" i="7"/>
  <c r="H349" i="2"/>
  <c r="H518" i="2"/>
  <c r="R29" i="8"/>
  <c r="H897" i="2"/>
  <c r="H657" i="2"/>
  <c r="H1178" i="2"/>
  <c r="F99" i="9"/>
  <c r="H1179" i="2"/>
  <c r="R30" i="8"/>
  <c r="H898" i="2"/>
  <c r="R36" i="8"/>
  <c r="H904" i="2"/>
  <c r="H542" i="2"/>
  <c r="G34" i="8"/>
  <c r="K40" i="8"/>
  <c r="N34" i="8"/>
  <c r="H913" i="2"/>
  <c r="H280" i="2"/>
  <c r="G31" i="7"/>
  <c r="H324" i="2"/>
  <c r="J32" i="8"/>
  <c r="H667" i="2"/>
  <c r="H376" i="2"/>
  <c r="H654" i="2"/>
  <c r="H567" i="2"/>
  <c r="H262" i="2"/>
  <c r="H319" i="2"/>
  <c r="H692" i="2"/>
  <c r="E13" i="9"/>
  <c r="H664" i="2"/>
  <c r="D31" i="7"/>
  <c r="H244" i="2"/>
  <c r="K17" i="7"/>
  <c r="H398" i="2"/>
  <c r="H102" i="2"/>
  <c r="K31" i="7"/>
  <c r="H799" i="2"/>
  <c r="O42" i="8"/>
  <c r="H820" i="2"/>
  <c r="H1130" i="2"/>
  <c r="H781" i="2"/>
  <c r="Q33" i="8"/>
  <c r="Q35" i="8"/>
  <c r="L23" i="7"/>
  <c r="H426" i="2"/>
  <c r="L14" i="7"/>
  <c r="H417" i="2"/>
  <c r="I18" i="10"/>
  <c r="H1286" i="2"/>
  <c r="H659" i="2"/>
  <c r="J41" i="8"/>
  <c r="Q36" i="8"/>
  <c r="H874" i="2"/>
  <c r="R20" i="8"/>
  <c r="H890" i="2"/>
  <c r="H306" i="2"/>
  <c r="G17" i="7"/>
  <c r="H310" i="2"/>
  <c r="H363" i="2"/>
  <c r="F40" i="8"/>
  <c r="H988" i="2"/>
  <c r="H789" i="2"/>
  <c r="Q41" i="8"/>
  <c r="H879" i="2"/>
  <c r="B50" i="5"/>
  <c r="P40" i="8"/>
  <c r="G34" i="7"/>
  <c r="H327" i="2"/>
  <c r="H669" i="2"/>
  <c r="R41" i="8"/>
  <c r="H909" i="2"/>
  <c r="R35" i="8"/>
  <c r="H903" i="2"/>
  <c r="H873" i="2"/>
  <c r="N40" i="8"/>
  <c r="H698" i="2"/>
  <c r="H848" i="2"/>
  <c r="K34" i="7"/>
  <c r="H415" i="2"/>
  <c r="H412" i="2"/>
  <c r="H572" i="2"/>
  <c r="J34" i="8"/>
  <c r="H977" i="2"/>
  <c r="H548" i="2"/>
  <c r="R33" i="8"/>
  <c r="H901" i="2"/>
  <c r="H871" i="2"/>
  <c r="H258" i="2"/>
  <c r="D34" i="7"/>
  <c r="H660" i="2"/>
  <c r="R32" i="8"/>
  <c r="H900" i="2"/>
  <c r="H782" i="2"/>
  <c r="Q34" i="8"/>
  <c r="H872" i="2"/>
  <c r="G40" i="8"/>
  <c r="H261" i="2"/>
  <c r="H788" i="2"/>
  <c r="Q40" i="8"/>
  <c r="J40" i="8"/>
  <c r="H578" i="2"/>
  <c r="H662" i="2"/>
  <c r="R34" i="8"/>
  <c r="H902" i="2"/>
  <c r="R40" i="8"/>
  <c r="H668" i="2"/>
  <c r="H878" i="2"/>
  <c r="H908" i="2"/>
  <c r="K42" i="8"/>
  <c r="H700" i="2"/>
  <c r="H1086" i="2"/>
  <c r="E73" i="9"/>
  <c r="H1110" i="2"/>
  <c r="D45" i="9"/>
  <c r="H974" i="2"/>
  <c r="H565" i="2"/>
  <c r="N27" i="8"/>
  <c r="Q27" i="8"/>
  <c r="H866" i="2"/>
  <c r="H563" i="2"/>
  <c r="H647" i="2"/>
  <c r="R17" i="8"/>
  <c r="H887" i="2"/>
  <c r="Q16" i="8"/>
  <c r="H856" i="2"/>
  <c r="R12" i="8"/>
  <c r="H882" i="2"/>
  <c r="J16" i="8"/>
  <c r="H499" i="2"/>
  <c r="H765" i="2"/>
  <c r="P42" i="8"/>
  <c r="H850" i="2"/>
  <c r="I42" i="8"/>
  <c r="H640" i="2"/>
  <c r="G71" i="4"/>
  <c r="H120" i="2"/>
  <c r="C31" i="5"/>
  <c r="C36" i="5"/>
  <c r="G31" i="5"/>
  <c r="H170" i="2"/>
  <c r="H31" i="5"/>
  <c r="H36" i="5"/>
  <c r="D44" i="6"/>
  <c r="D46" i="6"/>
  <c r="J34" i="7"/>
  <c r="H393" i="2"/>
  <c r="B38" i="7"/>
  <c r="D46" i="9"/>
  <c r="H975" i="2"/>
  <c r="R16" i="8"/>
  <c r="H886" i="2"/>
  <c r="H646" i="2"/>
  <c r="D98" i="9"/>
  <c r="H1081" i="2"/>
  <c r="E92" i="9"/>
  <c r="H1129" i="2"/>
  <c r="C98" i="9"/>
  <c r="H1049" i="2"/>
  <c r="H1038" i="2"/>
  <c r="H1043" i="2"/>
  <c r="E87" i="9"/>
  <c r="H1124" i="2"/>
  <c r="H1092" i="2"/>
  <c r="D99" i="9"/>
  <c r="H1093" i="2"/>
  <c r="H1114" i="2"/>
  <c r="C58" i="9"/>
  <c r="E58" i="9"/>
  <c r="H1098" i="2"/>
  <c r="E40" i="9"/>
  <c r="H1001" i="2"/>
  <c r="C45" i="9"/>
  <c r="H942" i="2"/>
  <c r="E26" i="9"/>
  <c r="H982" i="2"/>
  <c r="E21" i="9"/>
  <c r="C21" i="9"/>
  <c r="H555" i="2"/>
  <c r="H529" i="2"/>
  <c r="H776" i="2"/>
  <c r="Q26" i="8"/>
  <c r="Q24" i="8"/>
  <c r="E42" i="8"/>
  <c r="H520" i="2"/>
  <c r="G27" i="8"/>
  <c r="H768" i="2"/>
  <c r="H709" i="2"/>
  <c r="H558" i="2"/>
  <c r="R18" i="8"/>
  <c r="H888" i="2"/>
  <c r="R15" i="8"/>
  <c r="H885" i="2"/>
  <c r="M42" i="8"/>
  <c r="H760" i="2"/>
  <c r="N19" i="8"/>
  <c r="Q19" i="8"/>
  <c r="H769" i="2"/>
  <c r="H643" i="2"/>
  <c r="R13" i="8"/>
  <c r="H883" i="2"/>
  <c r="D42" i="8"/>
  <c r="H490" i="2"/>
  <c r="G19" i="8"/>
  <c r="H346" i="2"/>
  <c r="C44" i="6"/>
  <c r="G79" i="4"/>
  <c r="H124" i="2"/>
  <c r="D5" i="12"/>
  <c r="L18" i="7"/>
  <c r="H421" i="2"/>
  <c r="G37" i="4"/>
  <c r="D18" i="12"/>
  <c r="E7" i="14"/>
  <c r="C92" i="4"/>
  <c r="C94" i="4"/>
  <c r="C56" i="4"/>
  <c r="H41" i="2"/>
  <c r="D15" i="12"/>
  <c r="G36" i="5"/>
  <c r="H174" i="2"/>
  <c r="H147" i="2"/>
  <c r="G33" i="5"/>
  <c r="H171" i="2"/>
  <c r="C33" i="5"/>
  <c r="H144" i="2"/>
  <c r="H143" i="2"/>
  <c r="C45" i="8"/>
  <c r="B54" i="6"/>
  <c r="C182" i="2"/>
  <c r="C203" i="2"/>
  <c r="C223" i="2"/>
  <c r="C243" i="2"/>
  <c r="C265" i="2"/>
  <c r="C285" i="2"/>
  <c r="C306" i="2"/>
  <c r="C327" i="2"/>
  <c r="C346" i="2"/>
  <c r="C367" i="2"/>
  <c r="C388" i="2"/>
  <c r="C404" i="2"/>
  <c r="C421" i="2"/>
  <c r="C438" i="2"/>
  <c r="C454" i="2"/>
  <c r="C472" i="2"/>
  <c r="C489" i="2"/>
  <c r="C505" i="2"/>
  <c r="C539" i="2"/>
  <c r="C573" i="2"/>
  <c r="C606" i="2"/>
  <c r="C641" i="2"/>
  <c r="C674" i="2"/>
  <c r="C706" i="2"/>
  <c r="A6" i="6"/>
  <c r="C225" i="2"/>
  <c r="C269" i="2"/>
  <c r="C314" i="2"/>
  <c r="C357" i="2"/>
  <c r="C406" i="2"/>
  <c r="C468" i="2"/>
  <c r="C534" i="2"/>
  <c r="C648" i="2"/>
  <c r="C748" i="2"/>
  <c r="C792" i="2"/>
  <c r="C834" i="2"/>
  <c r="C876" i="2"/>
  <c r="C920" i="2"/>
  <c r="C963" i="2"/>
  <c r="C1005" i="2"/>
  <c r="C1048" i="2"/>
  <c r="C1091" i="2"/>
  <c r="C1133" i="2"/>
  <c r="C1190" i="2"/>
  <c r="C1248" i="2"/>
  <c r="C8" i="2"/>
  <c r="C161" i="2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5" i="10"/>
  <c r="C1293" i="2"/>
  <c r="C1289" i="2"/>
  <c r="C1285" i="2"/>
  <c r="C1281" i="2"/>
  <c r="C1277" i="2"/>
  <c r="C1273" i="2"/>
  <c r="C1269" i="2"/>
  <c r="C1265" i="2"/>
  <c r="C1261" i="2"/>
  <c r="C1257" i="2"/>
  <c r="C1253" i="2"/>
  <c r="C1249" i="2"/>
  <c r="C1245" i="2"/>
  <c r="C1241" i="2"/>
  <c r="C1237" i="2"/>
  <c r="C1233" i="2"/>
  <c r="C1229" i="2"/>
  <c r="C1225" i="2"/>
  <c r="C1221" i="2"/>
  <c r="C1217" i="2"/>
  <c r="C1213" i="2"/>
  <c r="C1209" i="2"/>
  <c r="C1205" i="2"/>
  <c r="C1201" i="2"/>
  <c r="C1197" i="2"/>
  <c r="C1192" i="2"/>
  <c r="C1188" i="2"/>
  <c r="C1184" i="2"/>
  <c r="C1180" i="2"/>
  <c r="C1176" i="2"/>
  <c r="C1172" i="2"/>
  <c r="C1168" i="2"/>
  <c r="C1164" i="2"/>
  <c r="C1160" i="2"/>
  <c r="C1156" i="2"/>
  <c r="C1152" i="2"/>
  <c r="C1148" i="2"/>
  <c r="C1144" i="2"/>
  <c r="C1140" i="2"/>
  <c r="C1136" i="2"/>
  <c r="C75" i="2"/>
  <c r="C79" i="2"/>
  <c r="C83" i="2"/>
  <c r="C87" i="2"/>
  <c r="C91" i="2"/>
  <c r="C95" i="2"/>
  <c r="C99" i="2"/>
  <c r="C103" i="2"/>
  <c r="C107" i="2"/>
  <c r="C111" i="2"/>
  <c r="C115" i="2"/>
  <c r="C119" i="2"/>
  <c r="C123" i="2"/>
  <c r="C128" i="2"/>
  <c r="C132" i="2"/>
  <c r="C136" i="2"/>
  <c r="C140" i="2"/>
  <c r="C144" i="2"/>
  <c r="C148" i="2"/>
  <c r="C152" i="2"/>
  <c r="C156" i="2"/>
  <c r="C160" i="2"/>
  <c r="C164" i="2"/>
  <c r="C168" i="2"/>
  <c r="C172" i="2"/>
  <c r="C1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76" i="2"/>
  <c r="C84" i="2"/>
  <c r="C92" i="2"/>
  <c r="C100" i="2"/>
  <c r="C108" i="2"/>
  <c r="C116" i="2"/>
  <c r="C124" i="2"/>
  <c r="C133" i="2"/>
  <c r="C141" i="2"/>
  <c r="C149" i="2"/>
  <c r="C157" i="2"/>
  <c r="C165" i="2"/>
  <c r="C173" i="2"/>
  <c r="C71" i="2"/>
  <c r="C63" i="2"/>
  <c r="C55" i="2"/>
  <c r="C47" i="2"/>
  <c r="C39" i="2"/>
  <c r="C31" i="2"/>
  <c r="C23" i="2"/>
  <c r="C15" i="2"/>
  <c r="C10" i="2"/>
  <c r="C4" i="2"/>
  <c r="A5" i="8"/>
  <c r="C1290" i="2"/>
  <c r="C1284" i="2"/>
  <c r="C1279" i="2"/>
  <c r="C1274" i="2"/>
  <c r="C1268" i="2"/>
  <c r="C1263" i="2"/>
  <c r="C1258" i="2"/>
  <c r="C1252" i="2"/>
  <c r="C1247" i="2"/>
  <c r="C1242" i="2"/>
  <c r="C1236" i="2"/>
  <c r="C1231" i="2"/>
  <c r="C1226" i="2"/>
  <c r="C1220" i="2"/>
  <c r="C1215" i="2"/>
  <c r="C1210" i="2"/>
  <c r="C1204" i="2"/>
  <c r="C1199" i="2"/>
  <c r="C1193" i="2"/>
  <c r="C1187" i="2"/>
  <c r="C1182" i="2"/>
  <c r="C1177" i="2"/>
  <c r="C1171" i="2"/>
  <c r="C1166" i="2"/>
  <c r="C1161" i="2"/>
  <c r="C1155" i="2"/>
  <c r="C1150" i="2"/>
  <c r="C1145" i="2"/>
  <c r="C1139" i="2"/>
  <c r="C1134" i="2"/>
  <c r="C1130" i="2"/>
  <c r="C1126" i="2"/>
  <c r="C1122" i="2"/>
  <c r="C1118" i="2"/>
  <c r="C1114" i="2"/>
  <c r="C1110" i="2"/>
  <c r="C1106" i="2"/>
  <c r="C1102" i="2"/>
  <c r="C1098" i="2"/>
  <c r="C1094" i="2"/>
  <c r="C1090" i="2"/>
  <c r="C1086" i="2"/>
  <c r="C1082" i="2"/>
  <c r="C1078" i="2"/>
  <c r="C1074" i="2"/>
  <c r="C1070" i="2"/>
  <c r="C1066" i="2"/>
  <c r="C1062" i="2"/>
  <c r="C1058" i="2"/>
  <c r="C1054" i="2"/>
  <c r="C1050" i="2"/>
  <c r="C1046" i="2"/>
  <c r="C1042" i="2"/>
  <c r="C1038" i="2"/>
  <c r="C1034" i="2"/>
  <c r="C1030" i="2"/>
  <c r="C1026" i="2"/>
  <c r="C1022" i="2"/>
  <c r="C1018" i="2"/>
  <c r="C1014" i="2"/>
  <c r="C1010" i="2"/>
  <c r="C1006" i="2"/>
  <c r="C1002" i="2"/>
  <c r="C998" i="2"/>
  <c r="C994" i="2"/>
  <c r="C990" i="2"/>
  <c r="C986" i="2"/>
  <c r="C982" i="2"/>
  <c r="C978" i="2"/>
  <c r="C974" i="2"/>
  <c r="C970" i="2"/>
  <c r="C966" i="2"/>
  <c r="C962" i="2"/>
  <c r="C958" i="2"/>
  <c r="C954" i="2"/>
  <c r="C950" i="2"/>
  <c r="C946" i="2"/>
  <c r="C942" i="2"/>
  <c r="C938" i="2"/>
  <c r="C934" i="2"/>
  <c r="C930" i="2"/>
  <c r="C926" i="2"/>
  <c r="C922" i="2"/>
  <c r="C918" i="2"/>
  <c r="C914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5" i="2"/>
  <c r="C741" i="2"/>
  <c r="C734" i="2"/>
  <c r="C723" i="2"/>
  <c r="C712" i="2"/>
  <c r="C701" i="2"/>
  <c r="C690" i="2"/>
  <c r="C679" i="2"/>
  <c r="C668" i="2"/>
  <c r="C657" i="2"/>
  <c r="C645" i="2"/>
  <c r="C635" i="2"/>
  <c r="C623" i="2"/>
  <c r="C613" i="2"/>
  <c r="C601" i="2"/>
  <c r="C590" i="2"/>
  <c r="C579" i="2"/>
  <c r="C569" i="2"/>
  <c r="C558" i="2"/>
  <c r="C547" i="2"/>
  <c r="C77" i="2"/>
  <c r="C88" i="2"/>
  <c r="C97" i="2"/>
  <c r="C109" i="2"/>
  <c r="C120" i="2"/>
  <c r="C130" i="2"/>
  <c r="C142" i="2"/>
  <c r="C153" i="2"/>
  <c r="C162" i="2"/>
  <c r="C174" i="2"/>
  <c r="C67" i="2"/>
  <c r="C58" i="2"/>
  <c r="C46" i="2"/>
  <c r="C35" i="2"/>
  <c r="C26" i="2"/>
  <c r="C14" i="2"/>
  <c r="C7" i="2"/>
  <c r="A5" i="9"/>
  <c r="C1288" i="2"/>
  <c r="C1282" i="2"/>
  <c r="C1275" i="2"/>
  <c r="C1267" i="2"/>
  <c r="C1260" i="2"/>
  <c r="C1254" i="2"/>
  <c r="C1246" i="2"/>
  <c r="C1239" i="2"/>
  <c r="C1232" i="2"/>
  <c r="C1224" i="2"/>
  <c r="C1218" i="2"/>
  <c r="C1211" i="2"/>
  <c r="C1203" i="2"/>
  <c r="C1195" i="2"/>
  <c r="C1189" i="2"/>
  <c r="C1181" i="2"/>
  <c r="C1174" i="2"/>
  <c r="C1167" i="2"/>
  <c r="C1159" i="2"/>
  <c r="C1153" i="2"/>
  <c r="C1146" i="2"/>
  <c r="C1138" i="2"/>
  <c r="C1132" i="2"/>
  <c r="C1127" i="2"/>
  <c r="C1121" i="2"/>
  <c r="C1116" i="2"/>
  <c r="C1111" i="2"/>
  <c r="C1105" i="2"/>
  <c r="C1100" i="2"/>
  <c r="C1095" i="2"/>
  <c r="C1089" i="2"/>
  <c r="C1084" i="2"/>
  <c r="C1079" i="2"/>
  <c r="C1073" i="2"/>
  <c r="C1068" i="2"/>
  <c r="C1063" i="2"/>
  <c r="C1057" i="2"/>
  <c r="C1052" i="2"/>
  <c r="C1047" i="2"/>
  <c r="C1041" i="2"/>
  <c r="C1036" i="2"/>
  <c r="C1031" i="2"/>
  <c r="C1025" i="2"/>
  <c r="C1020" i="2"/>
  <c r="C1015" i="2"/>
  <c r="C1009" i="2"/>
  <c r="C1004" i="2"/>
  <c r="C999" i="2"/>
  <c r="C993" i="2"/>
  <c r="C988" i="2"/>
  <c r="C983" i="2"/>
  <c r="C977" i="2"/>
  <c r="C972" i="2"/>
  <c r="C967" i="2"/>
  <c r="C961" i="2"/>
  <c r="C956" i="2"/>
  <c r="C951" i="2"/>
  <c r="C945" i="2"/>
  <c r="C940" i="2"/>
  <c r="C935" i="2"/>
  <c r="C929" i="2"/>
  <c r="C924" i="2"/>
  <c r="C919" i="2"/>
  <c r="C913" i="2"/>
  <c r="C907" i="2"/>
  <c r="C902" i="2"/>
  <c r="C896" i="2"/>
  <c r="C891" i="2"/>
  <c r="C886" i="2"/>
  <c r="C880" i="2"/>
  <c r="C875" i="2"/>
  <c r="C870" i="2"/>
  <c r="C864" i="2"/>
  <c r="C859" i="2"/>
  <c r="C854" i="2"/>
  <c r="C848" i="2"/>
  <c r="C843" i="2"/>
  <c r="C838" i="2"/>
  <c r="C832" i="2"/>
  <c r="C827" i="2"/>
  <c r="C822" i="2"/>
  <c r="C817" i="2"/>
  <c r="C812" i="2"/>
  <c r="C807" i="2"/>
  <c r="C801" i="2"/>
  <c r="C796" i="2"/>
  <c r="C791" i="2"/>
  <c r="C785" i="2"/>
  <c r="C779" i="2"/>
  <c r="C774" i="2"/>
  <c r="C768" i="2"/>
  <c r="C763" i="2"/>
  <c r="C758" i="2"/>
  <c r="C752" i="2"/>
  <c r="C747" i="2"/>
  <c r="C742" i="2"/>
  <c r="C732" i="2"/>
  <c r="C718" i="2"/>
  <c r="C704" i="2"/>
  <c r="C687" i="2"/>
  <c r="C673" i="2"/>
  <c r="C659" i="2"/>
  <c r="C643" i="2"/>
  <c r="C629" i="2"/>
  <c r="C615" i="2"/>
  <c r="C599" i="2"/>
  <c r="C585" i="2"/>
  <c r="C572" i="2"/>
  <c r="C555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727" i="2"/>
  <c r="C721" i="2"/>
  <c r="C714" i="2"/>
  <c r="C708" i="2"/>
  <c r="C702" i="2"/>
  <c r="C696" i="2"/>
  <c r="C689" i="2"/>
  <c r="C683" i="2"/>
  <c r="C677" i="2"/>
  <c r="C671" i="2"/>
  <c r="C664" i="2"/>
  <c r="C658" i="2"/>
  <c r="C652" i="2"/>
  <c r="C646" i="2"/>
  <c r="C639" i="2"/>
  <c r="C633" i="2"/>
  <c r="C627" i="2"/>
  <c r="C620" i="2"/>
  <c r="C614" i="2"/>
  <c r="C608" i="2"/>
  <c r="C602" i="2"/>
  <c r="C595" i="2"/>
  <c r="C589" i="2"/>
  <c r="C583" i="2"/>
  <c r="C576" i="2"/>
  <c r="C570" i="2"/>
  <c r="C564" i="2"/>
  <c r="C557" i="2"/>
  <c r="C551" i="2"/>
  <c r="C544" i="2"/>
  <c r="C538" i="2"/>
  <c r="C532" i="2"/>
  <c r="C525" i="2"/>
  <c r="C519" i="2"/>
  <c r="C513" i="2"/>
  <c r="C506" i="2"/>
  <c r="C500" i="2"/>
  <c r="C494" i="2"/>
  <c r="C487" i="2"/>
  <c r="C481" i="2"/>
  <c r="C475" i="2"/>
  <c r="C469" i="2"/>
  <c r="C462" i="2"/>
  <c r="C455" i="2"/>
  <c r="C449" i="2"/>
  <c r="C443" i="2"/>
  <c r="C436" i="2"/>
  <c r="C430" i="2"/>
  <c r="C424" i="2"/>
  <c r="C418" i="2"/>
  <c r="C411" i="2"/>
  <c r="C405" i="2"/>
  <c r="C399" i="2"/>
  <c r="C393" i="2"/>
  <c r="C386" i="2"/>
  <c r="C379" i="2"/>
  <c r="C371" i="2"/>
  <c r="C363" i="2"/>
  <c r="C356" i="2"/>
  <c r="C348" i="2"/>
  <c r="C340" i="2"/>
  <c r="C333" i="2"/>
  <c r="C325" i="2"/>
  <c r="C317" i="2"/>
  <c r="C310" i="2"/>
  <c r="C302" i="2"/>
  <c r="C294" i="2"/>
  <c r="C286" i="2"/>
  <c r="C279" i="2"/>
  <c r="C271" i="2"/>
  <c r="C263" i="2"/>
  <c r="C255" i="2"/>
  <c r="C247" i="2"/>
  <c r="C240" i="2"/>
  <c r="C232" i="2"/>
  <c r="C224" i="2"/>
  <c r="C216" i="2"/>
  <c r="C209" i="2"/>
  <c r="C201" i="2"/>
  <c r="C194" i="2"/>
  <c r="C186" i="2"/>
  <c r="C1104" i="2"/>
  <c r="C981" i="2"/>
  <c r="C971" i="2"/>
  <c r="C960" i="2"/>
  <c r="C955" i="2"/>
  <c r="C944" i="2"/>
  <c r="C933" i="2"/>
  <c r="C928" i="2"/>
  <c r="C917" i="2"/>
  <c r="C912" i="2"/>
  <c r="C900" i="2"/>
  <c r="C895" i="2"/>
  <c r="C884" i="2"/>
  <c r="C879" i="2"/>
  <c r="C868" i="2"/>
  <c r="C863" i="2"/>
  <c r="C852" i="2"/>
  <c r="C847" i="2"/>
  <c r="C836" i="2"/>
  <c r="C831" i="2"/>
  <c r="C826" i="2"/>
  <c r="C816" i="2"/>
  <c r="C811" i="2"/>
  <c r="C805" i="2"/>
  <c r="C800" i="2"/>
  <c r="C789" i="2"/>
  <c r="C784" i="2"/>
  <c r="C778" i="2"/>
  <c r="C767" i="2"/>
  <c r="C762" i="2"/>
  <c r="C756" i="2"/>
  <c r="C746" i="2"/>
  <c r="C740" i="2"/>
  <c r="C729" i="2"/>
  <c r="C698" i="2"/>
  <c r="C684" i="2"/>
  <c r="C654" i="2"/>
  <c r="C640" i="2"/>
  <c r="C610" i="2"/>
  <c r="C596" i="2"/>
  <c r="C582" i="2"/>
  <c r="C553" i="2"/>
  <c r="C540" i="2"/>
  <c r="C529" i="2"/>
  <c r="C507" i="2"/>
  <c r="C80" i="2"/>
  <c r="C89" i="2"/>
  <c r="C101" i="2"/>
  <c r="C112" i="2"/>
  <c r="C121" i="2"/>
  <c r="C134" i="2"/>
  <c r="C145" i="2"/>
  <c r="C154" i="2"/>
  <c r="C166" i="2"/>
  <c r="C177" i="2"/>
  <c r="C66" i="2"/>
  <c r="C54" i="2"/>
  <c r="C43" i="2"/>
  <c r="C34" i="2"/>
  <c r="C22" i="2"/>
  <c r="C12" i="2"/>
  <c r="C6" i="2"/>
  <c r="C1294" i="2"/>
  <c r="C1287" i="2"/>
  <c r="C1280" i="2"/>
  <c r="C1272" i="2"/>
  <c r="C1266" i="2"/>
  <c r="C1259" i="2"/>
  <c r="C1251" i="2"/>
  <c r="C1244" i="2"/>
  <c r="C1238" i="2"/>
  <c r="C1230" i="2"/>
  <c r="C1223" i="2"/>
  <c r="C1216" i="2"/>
  <c r="C1208" i="2"/>
  <c r="C1202" i="2"/>
  <c r="C1194" i="2"/>
  <c r="C1186" i="2"/>
  <c r="C1179" i="2"/>
  <c r="C1173" i="2"/>
  <c r="C1165" i="2"/>
  <c r="C1158" i="2"/>
  <c r="C1151" i="2"/>
  <c r="C1143" i="2"/>
  <c r="C1137" i="2"/>
  <c r="C1131" i="2"/>
  <c r="C1125" i="2"/>
  <c r="C1120" i="2"/>
  <c r="C1115" i="2"/>
  <c r="C1109" i="2"/>
  <c r="C1099" i="2"/>
  <c r="C1093" i="2"/>
  <c r="C1088" i="2"/>
  <c r="C1083" i="2"/>
  <c r="C1077" i="2"/>
  <c r="C1072" i="2"/>
  <c r="C1067" i="2"/>
  <c r="C1061" i="2"/>
  <c r="C1056" i="2"/>
  <c r="C1051" i="2"/>
  <c r="C1045" i="2"/>
  <c r="C1040" i="2"/>
  <c r="C1035" i="2"/>
  <c r="C1029" i="2"/>
  <c r="C1024" i="2"/>
  <c r="C1019" i="2"/>
  <c r="C1013" i="2"/>
  <c r="C1008" i="2"/>
  <c r="C1003" i="2"/>
  <c r="C997" i="2"/>
  <c r="C992" i="2"/>
  <c r="C987" i="2"/>
  <c r="C976" i="2"/>
  <c r="C965" i="2"/>
  <c r="C949" i="2"/>
  <c r="C939" i="2"/>
  <c r="C923" i="2"/>
  <c r="C906" i="2"/>
  <c r="C890" i="2"/>
  <c r="C874" i="2"/>
  <c r="C858" i="2"/>
  <c r="C842" i="2"/>
  <c r="A6" i="5"/>
  <c r="C795" i="2"/>
  <c r="C772" i="2"/>
  <c r="C751" i="2"/>
  <c r="C715" i="2"/>
  <c r="C670" i="2"/>
  <c r="C626" i="2"/>
  <c r="C566" i="2"/>
  <c r="C81" i="2"/>
  <c r="C104" i="2"/>
  <c r="C125" i="2"/>
  <c r="C146" i="2"/>
  <c r="C169" i="2"/>
  <c r="C62" i="2"/>
  <c r="C42" i="2"/>
  <c r="C19" i="2"/>
  <c r="C3" i="2"/>
  <c r="C1286" i="2"/>
  <c r="C1271" i="2"/>
  <c r="C1256" i="2"/>
  <c r="C1243" i="2"/>
  <c r="C1228" i="2"/>
  <c r="C1214" i="2"/>
  <c r="C1200" i="2"/>
  <c r="C1185" i="2"/>
  <c r="C1170" i="2"/>
  <c r="C1157" i="2"/>
  <c r="C1142" i="2"/>
  <c r="C1129" i="2"/>
  <c r="C1119" i="2"/>
  <c r="C1108" i="2"/>
  <c r="C1097" i="2"/>
  <c r="C1087" i="2"/>
  <c r="C1076" i="2"/>
  <c r="C1065" i="2"/>
  <c r="C1055" i="2"/>
  <c r="C1044" i="2"/>
  <c r="C1033" i="2"/>
  <c r="C1023" i="2"/>
  <c r="C1012" i="2"/>
  <c r="C1001" i="2"/>
  <c r="C991" i="2"/>
  <c r="C980" i="2"/>
  <c r="C969" i="2"/>
  <c r="C959" i="2"/>
  <c r="C948" i="2"/>
  <c r="C937" i="2"/>
  <c r="C927" i="2"/>
  <c r="C916" i="2"/>
  <c r="C904" i="2"/>
  <c r="C894" i="2"/>
  <c r="C883" i="2"/>
  <c r="C872" i="2"/>
  <c r="C862" i="2"/>
  <c r="C851" i="2"/>
  <c r="C840" i="2"/>
  <c r="C830" i="2"/>
  <c r="C820" i="2"/>
  <c r="C809" i="2"/>
  <c r="C799" i="2"/>
  <c r="C788" i="2"/>
  <c r="C776" i="2"/>
  <c r="C766" i="2"/>
  <c r="C755" i="2"/>
  <c r="C744" i="2"/>
  <c r="C726" i="2"/>
  <c r="C695" i="2"/>
  <c r="C665" i="2"/>
  <c r="C638" i="2"/>
  <c r="C607" i="2"/>
  <c r="C577" i="2"/>
  <c r="C550" i="2"/>
  <c r="C526" i="2"/>
  <c r="C512" i="2"/>
  <c r="C493" i="2"/>
  <c r="C479" i="2"/>
  <c r="C463" i="2"/>
  <c r="C448" i="2"/>
  <c r="C435" i="2"/>
  <c r="C417" i="2"/>
  <c r="C403" i="2"/>
  <c r="C389" i="2"/>
  <c r="C376" i="2"/>
  <c r="C366" i="2"/>
  <c r="C355" i="2"/>
  <c r="C343" i="2"/>
  <c r="C332" i="2"/>
  <c r="C322" i="2"/>
  <c r="C309" i="2"/>
  <c r="C299" i="2"/>
  <c r="C289" i="2"/>
  <c r="C276" i="2"/>
  <c r="C266" i="2"/>
  <c r="C256" i="2"/>
  <c r="C244" i="2"/>
  <c r="C233" i="2"/>
  <c r="C222" i="2"/>
  <c r="C208" i="2"/>
  <c r="C198" i="2"/>
  <c r="C187" i="2"/>
  <c r="C739" i="2"/>
  <c r="C730" i="2"/>
  <c r="C722" i="2"/>
  <c r="C713" i="2"/>
  <c r="C705" i="2"/>
  <c r="C697" i="2"/>
  <c r="C688" i="2"/>
  <c r="C680" i="2"/>
  <c r="C672" i="2"/>
  <c r="C663" i="2"/>
  <c r="C655" i="2"/>
  <c r="C647" i="2"/>
  <c r="C637" i="2"/>
  <c r="C630" i="2"/>
  <c r="C622" i="2"/>
  <c r="C612" i="2"/>
  <c r="C605" i="2"/>
  <c r="C597" i="2"/>
  <c r="C587" i="2"/>
  <c r="C580" i="2"/>
  <c r="C571" i="2"/>
  <c r="C562" i="2"/>
  <c r="C554" i="2"/>
  <c r="C546" i="2"/>
  <c r="C536" i="2"/>
  <c r="C528" i="2"/>
  <c r="C521" i="2"/>
  <c r="C511" i="2"/>
  <c r="C503" i="2"/>
  <c r="C495" i="2"/>
  <c r="C486" i="2"/>
  <c r="C478" i="2"/>
  <c r="C471" i="2"/>
  <c r="C461" i="2"/>
  <c r="C452" i="2"/>
  <c r="C444" i="2"/>
  <c r="C434" i="2"/>
  <c r="C427" i="2"/>
  <c r="C419" i="2"/>
  <c r="C410" i="2"/>
  <c r="C402" i="2"/>
  <c r="C394" i="2"/>
  <c r="C385" i="2"/>
  <c r="C375" i="2"/>
  <c r="C365" i="2"/>
  <c r="C354" i="2"/>
  <c r="C344" i="2"/>
  <c r="C335" i="2"/>
  <c r="C323" i="2"/>
  <c r="C313" i="2"/>
  <c r="C304" i="2"/>
  <c r="C292" i="2"/>
  <c r="C283" i="2"/>
  <c r="C273" i="2"/>
  <c r="C261" i="2"/>
  <c r="C251" i="2"/>
  <c r="C241" i="2"/>
  <c r="C230" i="2"/>
  <c r="C221" i="2"/>
  <c r="C210" i="2"/>
  <c r="C199" i="2"/>
  <c r="C190" i="2"/>
  <c r="A6" i="7"/>
  <c r="C129" i="2"/>
  <c r="C1283" i="2"/>
  <c r="C1270" i="2"/>
  <c r="C1255" i="2"/>
  <c r="C1227" i="2"/>
  <c r="C1212" i="2"/>
  <c r="C1198" i="2"/>
  <c r="C1169" i="2"/>
  <c r="C1154" i="2"/>
  <c r="C1141" i="2"/>
  <c r="C1117" i="2"/>
  <c r="C1107" i="2"/>
  <c r="C1085" i="2"/>
  <c r="C1075" i="2"/>
  <c r="C1053" i="2"/>
  <c r="C1043" i="2"/>
  <c r="C1021" i="2"/>
  <c r="C1011" i="2"/>
  <c r="C989" i="2"/>
  <c r="C979" i="2"/>
  <c r="C957" i="2"/>
  <c r="C947" i="2"/>
  <c r="C925" i="2"/>
  <c r="C915" i="2"/>
  <c r="C892" i="2"/>
  <c r="C882" i="2"/>
  <c r="C871" i="2"/>
  <c r="C850" i="2"/>
  <c r="C839" i="2"/>
  <c r="C828" i="2"/>
  <c r="C808" i="2"/>
  <c r="C797" i="2"/>
  <c r="C787" i="2"/>
  <c r="C764" i="2"/>
  <c r="C754" i="2"/>
  <c r="C720" i="2"/>
  <c r="C692" i="2"/>
  <c r="C662" i="2"/>
  <c r="C604" i="2"/>
  <c r="C574" i="2"/>
  <c r="C545" i="2"/>
  <c r="C504" i="2"/>
  <c r="C490" i="2"/>
  <c r="C473" i="2"/>
  <c r="C445" i="2"/>
  <c r="C429" i="2"/>
  <c r="C401" i="2"/>
  <c r="C384" i="2"/>
  <c r="C364" i="2"/>
  <c r="C351" i="2"/>
  <c r="C341" i="2"/>
  <c r="C318" i="2"/>
  <c r="C307" i="2"/>
  <c r="C297" i="2"/>
  <c r="C274" i="2"/>
  <c r="C264" i="2"/>
  <c r="C242" i="2"/>
  <c r="C231" i="2"/>
  <c r="C206" i="2"/>
  <c r="C195" i="2"/>
  <c r="C183" i="2"/>
  <c r="C728" i="2"/>
  <c r="C719" i="2"/>
  <c r="C703" i="2"/>
  <c r="C694" i="2"/>
  <c r="C686" i="2"/>
  <c r="C669" i="2"/>
  <c r="C661" i="2"/>
  <c r="C644" i="2"/>
  <c r="C636" i="2"/>
  <c r="C619" i="2"/>
  <c r="C611" i="2"/>
  <c r="C603" i="2"/>
  <c r="C586" i="2"/>
  <c r="C578" i="2"/>
  <c r="C560" i="2"/>
  <c r="C552" i="2"/>
  <c r="C542" i="2"/>
  <c r="C527" i="2"/>
  <c r="C517" i="2"/>
  <c r="C502" i="2"/>
  <c r="C492" i="2"/>
  <c r="C477" i="2"/>
  <c r="C467" i="2"/>
  <c r="C451" i="2"/>
  <c r="C441" i="2"/>
  <c r="C425" i="2"/>
  <c r="C416" i="2"/>
  <c r="C400" i="2"/>
  <c r="C391" i="2"/>
  <c r="C383" i="2"/>
  <c r="C361" i="2"/>
  <c r="C352" i="2"/>
  <c r="C331" i="2"/>
  <c r="C321" i="2"/>
  <c r="C311" i="2"/>
  <c r="C290" i="2"/>
  <c r="C281" i="2"/>
  <c r="C259" i="2"/>
  <c r="C249" i="2"/>
  <c r="C228" i="2"/>
  <c r="C219" i="2"/>
  <c r="C207" i="2"/>
  <c r="C188" i="2"/>
  <c r="A3" i="14"/>
  <c r="C85" i="2"/>
  <c r="C105" i="2"/>
  <c r="C150" i="2"/>
  <c r="C170" i="2"/>
  <c r="C59" i="2"/>
  <c r="C38" i="2"/>
  <c r="C18" i="2"/>
  <c r="A6" i="4"/>
  <c r="C1240" i="2"/>
  <c r="C1183" i="2"/>
  <c r="C1128" i="2"/>
  <c r="C1096" i="2"/>
  <c r="C1064" i="2"/>
  <c r="C1032" i="2"/>
  <c r="C1000" i="2"/>
  <c r="C968" i="2"/>
  <c r="C936" i="2"/>
  <c r="C903" i="2"/>
  <c r="C860" i="2"/>
  <c r="C819" i="2"/>
  <c r="C775" i="2"/>
  <c r="C743" i="2"/>
  <c r="C632" i="2"/>
  <c r="C523" i="2"/>
  <c r="C459" i="2"/>
  <c r="C414" i="2"/>
  <c r="C374" i="2"/>
  <c r="C330" i="2"/>
  <c r="C284" i="2"/>
  <c r="C252" i="2"/>
  <c r="C218" i="2"/>
  <c r="C736" i="2"/>
  <c r="C711" i="2"/>
  <c r="C678" i="2"/>
  <c r="C653" i="2"/>
  <c r="C628" i="2"/>
  <c r="C594" i="2"/>
  <c r="C568" i="2"/>
  <c r="C535" i="2"/>
  <c r="C509" i="2"/>
  <c r="C484" i="2"/>
  <c r="C458" i="2"/>
  <c r="C433" i="2"/>
  <c r="C408" i="2"/>
  <c r="C373" i="2"/>
  <c r="C342" i="2"/>
  <c r="C300" i="2"/>
  <c r="C268" i="2"/>
  <c r="C238" i="2"/>
  <c r="C197" i="2"/>
  <c r="C93" i="2"/>
  <c r="C113" i="2"/>
  <c r="C137" i="2"/>
  <c r="C158" i="2"/>
  <c r="C178" i="2"/>
  <c r="C51" i="2"/>
  <c r="C30" i="2"/>
  <c r="C11" i="2"/>
  <c r="C1292" i="2"/>
  <c r="C1278" i="2"/>
  <c r="C1264" i="2"/>
  <c r="C1250" i="2"/>
  <c r="C1235" i="2"/>
  <c r="C1222" i="2"/>
  <c r="C1207" i="2"/>
  <c r="C1191" i="2"/>
  <c r="C1178" i="2"/>
  <c r="C1163" i="2"/>
  <c r="C1149" i="2"/>
  <c r="C1135" i="2"/>
  <c r="C1124" i="2"/>
  <c r="C1113" i="2"/>
  <c r="C1103" i="2"/>
  <c r="C1092" i="2"/>
  <c r="C1081" i="2"/>
  <c r="C1071" i="2"/>
  <c r="C1060" i="2"/>
  <c r="C1049" i="2"/>
  <c r="C1039" i="2"/>
  <c r="C1028" i="2"/>
  <c r="C1017" i="2"/>
  <c r="C1007" i="2"/>
  <c r="C996" i="2"/>
  <c r="C985" i="2"/>
  <c r="C975" i="2"/>
  <c r="C964" i="2"/>
  <c r="C953" i="2"/>
  <c r="C943" i="2"/>
  <c r="C932" i="2"/>
  <c r="C921" i="2"/>
  <c r="C910" i="2"/>
  <c r="C899" i="2"/>
  <c r="C888" i="2"/>
  <c r="C878" i="2"/>
  <c r="C867" i="2"/>
  <c r="C856" i="2"/>
  <c r="C846" i="2"/>
  <c r="C835" i="2"/>
  <c r="C824" i="2"/>
  <c r="C815" i="2"/>
  <c r="C804" i="2"/>
  <c r="C793" i="2"/>
  <c r="C783" i="2"/>
  <c r="C771" i="2"/>
  <c r="C760" i="2"/>
  <c r="C750" i="2"/>
  <c r="C738" i="2"/>
  <c r="C709" i="2"/>
  <c r="C681" i="2"/>
  <c r="C651" i="2"/>
  <c r="C621" i="2"/>
  <c r="C593" i="2"/>
  <c r="C563" i="2"/>
  <c r="C537" i="2"/>
  <c r="C518" i="2"/>
  <c r="C501" i="2"/>
  <c r="C485" i="2"/>
  <c r="C470" i="2"/>
  <c r="C456" i="2"/>
  <c r="C440" i="2"/>
  <c r="C426" i="2"/>
  <c r="C412" i="2"/>
  <c r="C395" i="2"/>
  <c r="C382" i="2"/>
  <c r="C372" i="2"/>
  <c r="C360" i="2"/>
  <c r="C349" i="2"/>
  <c r="C339" i="2"/>
  <c r="C326" i="2"/>
  <c r="C316" i="2"/>
  <c r="C305" i="2"/>
  <c r="C293" i="2"/>
  <c r="C282" i="2"/>
  <c r="C272" i="2"/>
  <c r="C260" i="2"/>
  <c r="C250" i="2"/>
  <c r="C239" i="2"/>
  <c r="C227" i="2"/>
  <c r="C215" i="2"/>
  <c r="C204" i="2"/>
  <c r="C191" i="2"/>
  <c r="C181" i="2"/>
  <c r="C735" i="2"/>
  <c r="C725" i="2"/>
  <c r="C717" i="2"/>
  <c r="C710" i="2"/>
  <c r="C700" i="2"/>
  <c r="C693" i="2"/>
  <c r="C685" i="2"/>
  <c r="C675" i="2"/>
  <c r="C667" i="2"/>
  <c r="C660" i="2"/>
  <c r="C650" i="2"/>
  <c r="C642" i="2"/>
  <c r="C634" i="2"/>
  <c r="C625" i="2"/>
  <c r="C617" i="2"/>
  <c r="C609" i="2"/>
  <c r="C600" i="2"/>
  <c r="C592" i="2"/>
  <c r="C584" i="2"/>
  <c r="C575" i="2"/>
  <c r="C567" i="2"/>
  <c r="C559" i="2"/>
  <c r="C549" i="2"/>
  <c r="C541" i="2"/>
  <c r="C533" i="2"/>
  <c r="C524" i="2"/>
  <c r="C516" i="2"/>
  <c r="C508" i="2"/>
  <c r="C184" i="2"/>
  <c r="C205" i="2"/>
  <c r="C226" i="2"/>
  <c r="C245" i="2"/>
  <c r="C267" i="2"/>
  <c r="C288" i="2"/>
  <c r="C308" i="2"/>
  <c r="C329" i="2"/>
  <c r="C350" i="2"/>
  <c r="C369" i="2"/>
  <c r="C390" i="2"/>
  <c r="C407" i="2"/>
  <c r="C422" i="2"/>
  <c r="C439" i="2"/>
  <c r="C457" i="2"/>
  <c r="C474" i="2"/>
  <c r="C491" i="2"/>
  <c r="C514" i="2"/>
  <c r="C548" i="2"/>
  <c r="C581" i="2"/>
  <c r="C616" i="2"/>
  <c r="C649" i="2"/>
  <c r="C682" i="2"/>
  <c r="C716" i="2"/>
  <c r="C189" i="2"/>
  <c r="C235" i="2"/>
  <c r="C280" i="2"/>
  <c r="C324" i="2"/>
  <c r="C368" i="2"/>
  <c r="C423" i="2"/>
  <c r="C482" i="2"/>
  <c r="C561" i="2"/>
  <c r="C676" i="2"/>
  <c r="C759" i="2"/>
  <c r="C803" i="2"/>
  <c r="C844" i="2"/>
  <c r="C887" i="2"/>
  <c r="C931" i="2"/>
  <c r="C973" i="2"/>
  <c r="C1016" i="2"/>
  <c r="C1059" i="2"/>
  <c r="C1101" i="2"/>
  <c r="C1147" i="2"/>
  <c r="C1206" i="2"/>
  <c r="C1262" i="2"/>
  <c r="C27" i="2"/>
  <c r="C138" i="2"/>
  <c r="H354" i="2"/>
  <c r="I31" i="7"/>
  <c r="F34" i="7"/>
  <c r="H305" i="2"/>
  <c r="H302" i="2"/>
  <c r="H288" i="2"/>
  <c r="L13" i="7"/>
  <c r="H416" i="2"/>
  <c r="H218" i="2"/>
  <c r="C17" i="7"/>
  <c r="H37" i="4"/>
  <c r="H95" i="4"/>
  <c r="D56" i="4"/>
  <c r="D95" i="4"/>
  <c r="D36" i="5"/>
  <c r="D33" i="5"/>
  <c r="H33" i="5"/>
  <c r="E98" i="9"/>
  <c r="H1135" i="2"/>
  <c r="C68" i="9"/>
  <c r="H1012" i="2"/>
  <c r="E45" i="9"/>
  <c r="H1006" i="2"/>
  <c r="H987" i="2"/>
  <c r="H921" i="2"/>
  <c r="C46" i="9"/>
  <c r="H943" i="2"/>
  <c r="E46" i="9"/>
  <c r="H1007" i="2"/>
  <c r="H985" i="2"/>
  <c r="H865" i="2"/>
  <c r="R26" i="8"/>
  <c r="H895" i="2"/>
  <c r="R24" i="8"/>
  <c r="H893" i="2"/>
  <c r="H863" i="2"/>
  <c r="H566" i="2"/>
  <c r="J27" i="8"/>
  <c r="N42" i="8"/>
  <c r="H790" i="2"/>
  <c r="Q42" i="8"/>
  <c r="H880" i="2"/>
  <c r="H859" i="2"/>
  <c r="J19" i="8"/>
  <c r="H559" i="2"/>
  <c r="G42" i="8"/>
  <c r="H580" i="2"/>
  <c r="C46" i="6"/>
  <c r="H212" i="2"/>
  <c r="D11" i="12"/>
  <c r="H94" i="2"/>
  <c r="G95" i="4"/>
  <c r="C11" i="14"/>
  <c r="D4" i="12"/>
  <c r="D19" i="12"/>
  <c r="C7" i="14"/>
  <c r="D7" i="14"/>
  <c r="H69" i="2"/>
  <c r="D13" i="12"/>
  <c r="C10" i="14"/>
  <c r="D12" i="12"/>
  <c r="D10" i="12"/>
  <c r="H71" i="2"/>
  <c r="C95" i="4"/>
  <c r="D16" i="12"/>
  <c r="C42" i="5"/>
  <c r="H153" i="2"/>
  <c r="D8" i="12"/>
  <c r="C37" i="5"/>
  <c r="H148" i="2"/>
  <c r="G37" i="5"/>
  <c r="G42" i="5"/>
  <c r="D21" i="12"/>
  <c r="I34" i="7"/>
  <c r="H371" i="2"/>
  <c r="H368" i="2"/>
  <c r="L17" i="7"/>
  <c r="H420" i="2"/>
  <c r="C31" i="7"/>
  <c r="H222" i="2"/>
  <c r="H37" i="5"/>
  <c r="D42" i="5"/>
  <c r="D45" i="5"/>
  <c r="D37" i="5"/>
  <c r="D6" i="12"/>
  <c r="D20" i="12"/>
  <c r="H1022" i="2"/>
  <c r="C99" i="9"/>
  <c r="H1050" i="2"/>
  <c r="E68" i="9"/>
  <c r="R27" i="8"/>
  <c r="H896" i="2"/>
  <c r="H656" i="2"/>
  <c r="H649" i="2"/>
  <c r="R19" i="8"/>
  <c r="J42" i="8"/>
  <c r="H670" i="2"/>
  <c r="H214" i="2"/>
  <c r="E10" i="14"/>
  <c r="D10" i="14"/>
  <c r="E6" i="14"/>
  <c r="H125" i="2"/>
  <c r="C6" i="14"/>
  <c r="H72" i="2"/>
  <c r="H175" i="2"/>
  <c r="G44" i="5"/>
  <c r="H178" i="2"/>
  <c r="C45" i="5"/>
  <c r="H156" i="2"/>
  <c r="G45" i="5"/>
  <c r="H179" i="2"/>
  <c r="H176" i="2"/>
  <c r="C44" i="5"/>
  <c r="D23" i="12"/>
  <c r="D22" i="12"/>
  <c r="D24" i="12"/>
  <c r="H236" i="2"/>
  <c r="C34" i="7"/>
  <c r="L31" i="7"/>
  <c r="H434" i="2"/>
  <c r="H42" i="5"/>
  <c r="D44" i="5"/>
  <c r="H44" i="5"/>
  <c r="H1108" i="2"/>
  <c r="E99" i="9"/>
  <c r="H1136" i="2"/>
  <c r="H889" i="2"/>
  <c r="R42" i="8"/>
  <c r="H910" i="2"/>
  <c r="D6" i="14"/>
  <c r="E8" i="14"/>
  <c r="D8" i="14"/>
  <c r="H155" i="2"/>
  <c r="H239" i="2"/>
  <c r="L34" i="7"/>
  <c r="H45" i="5"/>
  <c r="H437" i="2"/>
  <c r="E11" i="14"/>
  <c r="D11" i="14"/>
</calcChain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<sst xmlns="http://schemas.openxmlformats.org/spreadsheetml/2006/main" count="4189" uniqueCount="973">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</sst>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.00\ &quot;лв&quot;_-;\-* #,##0.00\ &quot;лв&quot;_-;_-* &quot;-&quot;??\ &quot;лв&quot;_-;_-@_-"/>
    <numFmt numFmtId="172" formatCode="dd/m/yyyy\ &quot;г.&quot;;@"/>
    <numFmt numFmtId="175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5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72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72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70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72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75" fontId="16" fillId="5" borderId="0" xfId="0" applyNumberFormat="1" applyFont="1" applyFill="1"/>
    <xf numFmtId="175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72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72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70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topLeftCell="A13" zoomScaleNormal="100" zoomScaleSheetLayoutView="100" workbookViewId="0">
      <selection activeCell="B12" sqref="B12"/>
    </sheetView>
  </sheetViews>
  <sheetFormatPr defaultColWidth="9.109375" defaultRowHeight="15.6"/>
  <cols>
    <col min="1" max="1" width="30.6640625" style="655" customWidth="1"/>
    <col min="2" max="2" width="65.6640625" style="655" customWidth="1"/>
    <col min="3" max="26" width="9.109375" style="655"/>
    <col min="27" max="27" width="9.88671875" style="655" bestFit="1" customWidth="1"/>
    <col min="28" max="16384" width="9.109375" style="655"/>
  </cols>
  <sheetData>
    <row r="1" spans="1:27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>
      <c r="A2" s="654" t="s">
        <v>938</v>
      </c>
      <c r="B2" s="649"/>
      <c r="Z2" s="666">
        <v>2</v>
      </c>
      <c r="AA2" s="667">
        <f>IF(ISBLANK(_pdeReportingDate),"",_pdeReportingDate)</f>
        <v>43308</v>
      </c>
    </row>
    <row r="3" spans="1:27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7">
      <c r="A4" s="648" t="s">
        <v>962</v>
      </c>
      <c r="B4" s="649"/>
    </row>
    <row r="5" spans="1:27" ht="46.8">
      <c r="A5" s="652" t="s">
        <v>903</v>
      </c>
      <c r="B5" s="65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7">
        <v>43101</v>
      </c>
    </row>
    <row r="10" spans="1:27">
      <c r="A10" s="7" t="s">
        <v>2</v>
      </c>
      <c r="B10" s="547">
        <v>43281</v>
      </c>
    </row>
    <row r="11" spans="1:27">
      <c r="A11" s="7" t="s">
        <v>950</v>
      </c>
      <c r="B11" s="547">
        <v>43308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6" t="s">
        <v>963</v>
      </c>
    </row>
    <row r="15" spans="1:27">
      <c r="A15" s="10" t="s">
        <v>942</v>
      </c>
      <c r="B15" s="548" t="s">
        <v>898</v>
      </c>
    </row>
    <row r="16" spans="1:27">
      <c r="A16" s="7" t="s">
        <v>3</v>
      </c>
      <c r="B16" s="546" t="s">
        <v>964</v>
      </c>
    </row>
    <row r="17" spans="1:2">
      <c r="A17" s="7" t="s">
        <v>894</v>
      </c>
      <c r="B17" s="546" t="s">
        <v>965</v>
      </c>
    </row>
    <row r="18" spans="1:2">
      <c r="A18" s="7" t="s">
        <v>893</v>
      </c>
      <c r="B18" s="546"/>
    </row>
    <row r="19" spans="1:2">
      <c r="A19" s="7" t="s">
        <v>4</v>
      </c>
      <c r="B19" s="546" t="s">
        <v>966</v>
      </c>
    </row>
    <row r="20" spans="1:2">
      <c r="A20" s="7" t="s">
        <v>5</v>
      </c>
      <c r="B20" s="546" t="s">
        <v>967</v>
      </c>
    </row>
    <row r="21" spans="1:2">
      <c r="A21" s="10" t="s">
        <v>6</v>
      </c>
      <c r="B21" s="548"/>
    </row>
    <row r="22" spans="1:2">
      <c r="A22" s="10" t="s">
        <v>891</v>
      </c>
      <c r="B22" s="548"/>
    </row>
    <row r="23" spans="1:2">
      <c r="A23" s="10" t="s">
        <v>7</v>
      </c>
      <c r="B23" s="656" t="s">
        <v>968</v>
      </c>
    </row>
    <row r="24" spans="1:2">
      <c r="A24" s="10" t="s">
        <v>892</v>
      </c>
      <c r="B24" s="657" t="s">
        <v>969</v>
      </c>
    </row>
    <row r="25" spans="1:2">
      <c r="A25" s="7" t="s">
        <v>895</v>
      </c>
      <c r="B25" s="658" t="s">
        <v>970</v>
      </c>
    </row>
    <row r="26" spans="1:2">
      <c r="A26" s="10" t="s">
        <v>943</v>
      </c>
      <c r="B26" s="548" t="s">
        <v>971</v>
      </c>
    </row>
    <row r="27" spans="1:2">
      <c r="A27" s="10" t="s">
        <v>944</v>
      </c>
      <c r="B27" s="548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5" ht="24" customHeight="1">
      <c r="A2" s="614" t="s">
        <v>855</v>
      </c>
      <c r="B2" s="612"/>
      <c r="C2" s="612"/>
      <c r="D2" s="613"/>
    </row>
    <row r="3" spans="1:5" ht="31.2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7.2702060221870049E-2</v>
      </c>
      <c r="E3" s="615"/>
    </row>
    <row r="4" spans="1:5" ht="31.2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0.13066310636404094</v>
      </c>
    </row>
    <row r="5" spans="1:5" ht="31.2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0.12533885461802813</v>
      </c>
    </row>
    <row r="6" spans="1:5" ht="31.2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6.3972807199119713E-2</v>
      </c>
    </row>
    <row r="7" spans="1:5" ht="24" customHeight="1">
      <c r="A7" s="614" t="s">
        <v>866</v>
      </c>
      <c r="B7" s="612"/>
      <c r="C7" s="612"/>
      <c r="D7" s="613"/>
    </row>
    <row r="8" spans="1:5" ht="31.2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1.0896580483736447</v>
      </c>
    </row>
    <row r="9" spans="1:5" ht="24" customHeight="1">
      <c r="A9" s="614" t="s">
        <v>869</v>
      </c>
      <c r="B9" s="612"/>
      <c r="C9" s="612"/>
      <c r="D9" s="613"/>
    </row>
    <row r="10" spans="1:5" ht="31.2">
      <c r="A10" s="561">
        <v>6</v>
      </c>
      <c r="B10" s="559" t="s">
        <v>870</v>
      </c>
      <c r="C10" s="560" t="s">
        <v>871</v>
      </c>
      <c r="D10" s="610">
        <f>'1-Баланс'!C94/'1-Баланс'!G79</f>
        <v>1.0986039634926501</v>
      </c>
    </row>
    <row r="11" spans="1:5" ht="62.4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1.0838190554718377</v>
      </c>
    </row>
    <row r="12" spans="1:5" ht="46.8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0.32486992124193226</v>
      </c>
    </row>
    <row r="13" spans="1:5" ht="31.2">
      <c r="A13" s="561">
        <v>9</v>
      </c>
      <c r="B13" s="559" t="s">
        <v>874</v>
      </c>
      <c r="C13" s="560" t="s">
        <v>875</v>
      </c>
      <c r="D13" s="610">
        <f>'1-Баланс'!C92/'1-Баланс'!G79</f>
        <v>0.32486992124193226</v>
      </c>
    </row>
    <row r="14" spans="1:5" ht="24" customHeight="1">
      <c r="A14" s="614" t="s">
        <v>876</v>
      </c>
      <c r="B14" s="612"/>
      <c r="C14" s="612"/>
      <c r="D14" s="613"/>
    </row>
    <row r="15" spans="1:5" ht="31.2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1.5187378951129162</v>
      </c>
    </row>
    <row r="16" spans="1:5" ht="31.2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0.87993114643366854</v>
      </c>
    </row>
    <row r="17" spans="1:5" ht="24" customHeight="1">
      <c r="A17" s="614" t="s">
        <v>879</v>
      </c>
      <c r="B17" s="612"/>
      <c r="C17" s="612"/>
      <c r="D17" s="613"/>
    </row>
    <row r="18" spans="1:5" ht="31.2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0.20625949344731356</v>
      </c>
    </row>
    <row r="19" spans="1:5" ht="31.2">
      <c r="A19" s="561">
        <v>13</v>
      </c>
      <c r="B19" s="559" t="s">
        <v>907</v>
      </c>
      <c r="C19" s="560" t="s">
        <v>880</v>
      </c>
      <c r="D19" s="610">
        <f>D4/D5</f>
        <v>1.0424788607031596</v>
      </c>
    </row>
    <row r="20" spans="1:5" ht="31.2">
      <c r="A20" s="561">
        <v>14</v>
      </c>
      <c r="B20" s="559" t="s">
        <v>881</v>
      </c>
      <c r="C20" s="560" t="s">
        <v>882</v>
      </c>
      <c r="D20" s="610">
        <f>D6/D5</f>
        <v>0.51039884953534731</v>
      </c>
    </row>
    <row r="21" spans="1:5" ht="15.6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6893</v>
      </c>
      <c r="E21" s="665"/>
    </row>
    <row r="22" spans="1:5" ht="46.8">
      <c r="A22" s="561">
        <v>16</v>
      </c>
      <c r="B22" s="559" t="s">
        <v>887</v>
      </c>
      <c r="C22" s="560" t="s">
        <v>888</v>
      </c>
      <c r="D22" s="616">
        <f>D21/'1-Баланс'!G37</f>
        <v>0.15338228749443703</v>
      </c>
    </row>
    <row r="23" spans="1:5" ht="31.2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0.15457452193128648</v>
      </c>
    </row>
    <row r="24" spans="1:5" ht="31.2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3.7416340547879563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9375" defaultRowHeight="15.6"/>
  <cols>
    <col min="1" max="1" width="16.5546875" style="99" bestFit="1" customWidth="1"/>
    <col min="2" max="2" width="12.109375" style="99" bestFit="1" customWidth="1"/>
    <col min="3" max="3" width="14.33203125" style="99" customWidth="1"/>
    <col min="4" max="4" width="14.109375" style="99" bestFit="1" customWidth="1"/>
    <col min="5" max="5" width="16.6640625" style="99" bestFit="1" customWidth="1"/>
    <col min="6" max="6" width="53.109375" style="99" customWidth="1"/>
    <col min="7" max="7" width="16" style="99" bestFit="1" customWidth="1"/>
    <col min="8" max="8" width="15.6640625" style="99" customWidth="1"/>
    <col min="9" max="16384" width="9.1093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3" customFormat="1">
      <c r="C2" s="549"/>
      <c r="F2" s="487" t="s">
        <v>826</v>
      </c>
    </row>
    <row r="3" spans="1:14">
      <c r="A3" s="99" t="str">
        <f t="shared" ref="A3:A34" si="0">pdeName</f>
        <v>"Спиди" АД</v>
      </c>
      <c r="B3" s="99" t="str">
        <f t="shared" ref="B3:B34" si="1">pdeBulstat</f>
        <v>131371780</v>
      </c>
      <c r="C3" s="550">
        <f t="shared" ref="C3:C34" si="2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0</v>
      </c>
    </row>
    <row r="4" spans="1:14">
      <c r="A4" s="99" t="str">
        <f t="shared" si="0"/>
        <v>"Спиди" АД</v>
      </c>
      <c r="B4" s="99" t="str">
        <f t="shared" si="1"/>
        <v>131371780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0</v>
      </c>
    </row>
    <row r="5" spans="1:14">
      <c r="A5" s="99" t="str">
        <f t="shared" si="0"/>
        <v>"Спиди" АД</v>
      </c>
      <c r="B5" s="99" t="str">
        <f t="shared" si="1"/>
        <v>131371780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6577</v>
      </c>
    </row>
    <row r="6" spans="1:14">
      <c r="A6" s="99" t="str">
        <f t="shared" si="0"/>
        <v>"Спиди" АД</v>
      </c>
      <c r="B6" s="99" t="str">
        <f t="shared" si="1"/>
        <v>131371780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"Спиди" АД</v>
      </c>
      <c r="B7" s="99" t="str">
        <f t="shared" si="1"/>
        <v>131371780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14874</v>
      </c>
    </row>
    <row r="8" spans="1:14">
      <c r="A8" s="99" t="str">
        <f t="shared" si="0"/>
        <v>"Спиди" АД</v>
      </c>
      <c r="B8" s="99" t="str">
        <f t="shared" si="1"/>
        <v>131371780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0</v>
      </c>
    </row>
    <row r="9" spans="1:14">
      <c r="A9" s="99" t="str">
        <f t="shared" si="0"/>
        <v>"Спиди" АД</v>
      </c>
      <c r="B9" s="99" t="str">
        <f t="shared" si="1"/>
        <v>131371780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0</v>
      </c>
    </row>
    <row r="10" spans="1:14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10205</v>
      </c>
    </row>
    <row r="11" spans="1:14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31656</v>
      </c>
    </row>
    <row r="12" spans="1:14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0</v>
      </c>
    </row>
    <row r="13" spans="1:14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3211</v>
      </c>
    </row>
    <row r="16" spans="1:14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17794</v>
      </c>
    </row>
    <row r="18" spans="1:8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21005</v>
      </c>
    </row>
    <row r="19" spans="1:8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"Спиди" АД</v>
      </c>
      <c r="B35" s="99" t="str">
        <f t="shared" ref="B35:B66" si="4">pdeBulstat</f>
        <v>131371780</v>
      </c>
      <c r="C35" s="550">
        <f t="shared" ref="C35:C66" si="5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224</v>
      </c>
    </row>
    <row r="38" spans="1:8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224</v>
      </c>
    </row>
    <row r="39" spans="1:8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265</v>
      </c>
    </row>
    <row r="41" spans="1:8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53150</v>
      </c>
    </row>
    <row r="42" spans="1:8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520</v>
      </c>
    </row>
    <row r="43" spans="1:8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0</v>
      </c>
    </row>
    <row r="44" spans="1:8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0</v>
      </c>
    </row>
    <row r="45" spans="1:8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0</v>
      </c>
    </row>
    <row r="46" spans="1:8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520</v>
      </c>
    </row>
    <row r="49" spans="1:8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910</v>
      </c>
    </row>
    <row r="50" spans="1:8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22520</v>
      </c>
    </row>
    <row r="51" spans="1:8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0</v>
      </c>
    </row>
    <row r="52" spans="1:8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107</v>
      </c>
    </row>
    <row r="55" spans="1:8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3156</v>
      </c>
    </row>
    <row r="57" spans="1:8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26693</v>
      </c>
    </row>
    <row r="58" spans="1:8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239</v>
      </c>
    </row>
    <row r="66" spans="1:8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11187</v>
      </c>
    </row>
    <row r="67" spans="1:8">
      <c r="A67" s="99" t="str">
        <f t="shared" ref="A67:A98" si="6">pdeName</f>
        <v>"Спиди" АД</v>
      </c>
      <c r="B67" s="99" t="str">
        <f t="shared" ref="B67:B98" si="7">pdeBulstat</f>
        <v>131371780</v>
      </c>
      <c r="C67" s="550">
        <f t="shared" ref="C67:C98" si="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11426</v>
      </c>
    </row>
    <row r="70" spans="1:8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0</v>
      </c>
    </row>
    <row r="71" spans="1:8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38639</v>
      </c>
    </row>
    <row r="72" spans="1:8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91789</v>
      </c>
    </row>
    <row r="73" spans="1:8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-218</v>
      </c>
    </row>
    <row r="83" spans="1:8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-756</v>
      </c>
    </row>
    <row r="86" spans="1:8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19347</v>
      </c>
    </row>
    <row r="87" spans="1:8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14343</v>
      </c>
    </row>
    <row r="88" spans="1:8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14343</v>
      </c>
    </row>
    <row r="89" spans="1:8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5872</v>
      </c>
    </row>
    <row r="92" spans="1:8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20215</v>
      </c>
    </row>
    <row r="94" spans="1:8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44940</v>
      </c>
    </row>
    <row r="95" spans="1:8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10279</v>
      </c>
    </row>
    <row r="98" spans="1:8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"Спиди" АД</v>
      </c>
      <c r="B99" s="99" t="str">
        <f t="shared" ref="B99:B125" si="10">pdeBulstat</f>
        <v>131371780</v>
      </c>
      <c r="C99" s="550">
        <f t="shared" ref="C99:C125" si="11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157</v>
      </c>
    </row>
    <row r="102" spans="1:8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10436</v>
      </c>
    </row>
    <row r="103" spans="1:8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963</v>
      </c>
    </row>
    <row r="106" spans="1:8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279</v>
      </c>
    </row>
    <row r="107" spans="1:8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11678</v>
      </c>
    </row>
    <row r="108" spans="1:8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8005</v>
      </c>
    </row>
    <row r="109" spans="1:8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14372</v>
      </c>
    </row>
    <row r="111" spans="1:8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493</v>
      </c>
    </row>
    <row r="112" spans="1:8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8168</v>
      </c>
    </row>
    <row r="114" spans="1:8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3100</v>
      </c>
    </row>
    <row r="116" spans="1:8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1083</v>
      </c>
    </row>
    <row r="117" spans="1:8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1528</v>
      </c>
    </row>
    <row r="118" spans="1:8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12474</v>
      </c>
    </row>
    <row r="119" spans="1:8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34851</v>
      </c>
    </row>
    <row r="121" spans="1:8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320</v>
      </c>
    </row>
    <row r="124" spans="1:8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35171</v>
      </c>
    </row>
    <row r="125" spans="1:8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91789</v>
      </c>
    </row>
    <row r="126" spans="1:8" s="483" customFormat="1">
      <c r="C126" s="549"/>
      <c r="F126" s="487" t="s">
        <v>827</v>
      </c>
    </row>
    <row r="127" spans="1:8">
      <c r="A127" s="99" t="str">
        <f t="shared" ref="A127:A158" si="12">pdeName</f>
        <v>"Спиди" АД</v>
      </c>
      <c r="B127" s="99" t="str">
        <f t="shared" ref="B127:B158" si="13">pdeBulstat</f>
        <v>131371780</v>
      </c>
      <c r="C127" s="550">
        <f t="shared" ref="C127:C158" si="14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3773</v>
      </c>
    </row>
    <row r="128" spans="1:8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46509</v>
      </c>
    </row>
    <row r="129" spans="1:8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5628</v>
      </c>
    </row>
    <row r="130" spans="1:8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13462</v>
      </c>
    </row>
    <row r="131" spans="1:8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3402</v>
      </c>
    </row>
    <row r="132" spans="1:8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1083</v>
      </c>
    </row>
    <row r="135" spans="1:8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73857</v>
      </c>
    </row>
    <row r="138" spans="1:8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228</v>
      </c>
    </row>
    <row r="139" spans="1:8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253</v>
      </c>
    </row>
    <row r="141" spans="1:8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481</v>
      </c>
    </row>
    <row r="143" spans="1:8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74338</v>
      </c>
    </row>
    <row r="144" spans="1:8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6665</v>
      </c>
    </row>
    <row r="145" spans="1:8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74338</v>
      </c>
    </row>
    <row r="148" spans="1:8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6665</v>
      </c>
    </row>
    <row r="149" spans="1:8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793</v>
      </c>
    </row>
    <row r="150" spans="1:8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793</v>
      </c>
    </row>
    <row r="151" spans="1:8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5872</v>
      </c>
    </row>
    <row r="154" spans="1:8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5872</v>
      </c>
    </row>
    <row r="156" spans="1:8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81003</v>
      </c>
    </row>
    <row r="157" spans="1:8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>
      <c r="A159" s="99" t="str">
        <f t="shared" ref="A159:A179" si="15">pdeName</f>
        <v>"Спиди" АД</v>
      </c>
      <c r="B159" s="99" t="str">
        <f t="shared" ref="B159:B179" si="16">pdeBulstat</f>
        <v>131371780</v>
      </c>
      <c r="C159" s="550">
        <f t="shared" ref="C159:C179" si="17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76819</v>
      </c>
    </row>
    <row r="160" spans="1:8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3949</v>
      </c>
    </row>
    <row r="161" spans="1:8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80768</v>
      </c>
    </row>
    <row r="162" spans="1:8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160</v>
      </c>
    </row>
    <row r="163" spans="1:8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75</v>
      </c>
    </row>
    <row r="165" spans="1:8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75</v>
      </c>
    </row>
    <row r="170" spans="1:8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81003</v>
      </c>
    </row>
    <row r="171" spans="1:8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81003</v>
      </c>
    </row>
    <row r="175" spans="1:8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81003</v>
      </c>
    </row>
    <row r="180" spans="1:8" s="483" customFormat="1">
      <c r="C180" s="549"/>
      <c r="F180" s="487" t="s">
        <v>831</v>
      </c>
    </row>
    <row r="181" spans="1:8">
      <c r="A181" s="99" t="str">
        <f t="shared" ref="A181:A216" si="18">pdeName</f>
        <v>"Спиди" АД</v>
      </c>
      <c r="B181" s="99" t="str">
        <f t="shared" ref="B181:B216" si="19">pdeBulstat</f>
        <v>131371780</v>
      </c>
      <c r="C181" s="550">
        <f t="shared" ref="C181:C216" si="20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93028</v>
      </c>
    </row>
    <row r="182" spans="1:8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-63440</v>
      </c>
    </row>
    <row r="183" spans="1:8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-16375</v>
      </c>
    </row>
    <row r="185" spans="1:8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-5217</v>
      </c>
    </row>
    <row r="186" spans="1:8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-697</v>
      </c>
    </row>
    <row r="187" spans="1:8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-35</v>
      </c>
    </row>
    <row r="190" spans="1:8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-2480</v>
      </c>
    </row>
    <row r="191" spans="1:8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4784</v>
      </c>
    </row>
    <row r="192" spans="1:8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-1276</v>
      </c>
    </row>
    <row r="193" spans="1:8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207</v>
      </c>
    </row>
    <row r="194" spans="1:8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298</v>
      </c>
    </row>
    <row r="202" spans="1:8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-771</v>
      </c>
    </row>
    <row r="203" spans="1:8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-1522</v>
      </c>
    </row>
    <row r="207" spans="1:8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-3464</v>
      </c>
    </row>
    <row r="208" spans="1:8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-264</v>
      </c>
    </row>
    <row r="209" spans="1:8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-5250</v>
      </c>
    </row>
    <row r="212" spans="1:8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-1237</v>
      </c>
    </row>
    <row r="213" spans="1:8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12663</v>
      </c>
    </row>
    <row r="214" spans="1:8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11426</v>
      </c>
    </row>
    <row r="215" spans="1:8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1:8" s="483" customFormat="1">
      <c r="C217" s="549"/>
      <c r="F217" s="487" t="s">
        <v>835</v>
      </c>
    </row>
    <row r="218" spans="1:8">
      <c r="A218" s="99" t="str">
        <f t="shared" ref="A218:A281" si="21">pdeName</f>
        <v>"Спиди" АД</v>
      </c>
      <c r="B218" s="99" t="str">
        <f t="shared" ref="B218:B281" si="22">pdeBulstat</f>
        <v>131371780</v>
      </c>
      <c r="C218" s="550">
        <f t="shared" ref="C218:C281" si="23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>
      <c r="A282" s="99" t="str">
        <f t="shared" ref="A282:A345" si="24">pdeName</f>
        <v>"Спиди" АД</v>
      </c>
      <c r="B282" s="99" t="str">
        <f t="shared" ref="B282:B345" si="25">pdeBulstat</f>
        <v>131371780</v>
      </c>
      <c r="C282" s="550">
        <f t="shared" ref="C282:C345" si="26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-762</v>
      </c>
    </row>
    <row r="329" spans="1:8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-762</v>
      </c>
    </row>
    <row r="333" spans="1:8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6</v>
      </c>
    </row>
    <row r="346" spans="1:8">
      <c r="A346" s="99" t="str">
        <f t="shared" ref="A346:A409" si="27">pdeName</f>
        <v>"Спиди" АД</v>
      </c>
      <c r="B346" s="99" t="str">
        <f t="shared" ref="B346:B409" si="28">pdeBulstat</f>
        <v>131371780</v>
      </c>
      <c r="C346" s="550">
        <f t="shared" ref="C346:C409" si="2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-756</v>
      </c>
    </row>
    <row r="347" spans="1:8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-756</v>
      </c>
    </row>
    <row r="350" spans="1:8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20796</v>
      </c>
    </row>
    <row r="351" spans="1:8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20796</v>
      </c>
    </row>
    <row r="355" spans="1:8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5872</v>
      </c>
    </row>
    <row r="356" spans="1:8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-6453</v>
      </c>
    </row>
    <row r="357" spans="1:8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-6453</v>
      </c>
    </row>
    <row r="358" spans="1:8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20215</v>
      </c>
    </row>
    <row r="369" spans="1:8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20215</v>
      </c>
    </row>
    <row r="372" spans="1:8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>
      <c r="A410" s="99" t="str">
        <f t="shared" ref="A410:A459" si="30">pdeName</f>
        <v>"Спиди" АД</v>
      </c>
      <c r="B410" s="99" t="str">
        <f t="shared" ref="B410:B459" si="31">pdeBulstat</f>
        <v>131371780</v>
      </c>
      <c r="C410" s="550">
        <f t="shared" ref="C410:C459" si="32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45515</v>
      </c>
    </row>
    <row r="417" spans="1:8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45515</v>
      </c>
    </row>
    <row r="421" spans="1:8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5872</v>
      </c>
    </row>
    <row r="422" spans="1:8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-6453</v>
      </c>
    </row>
    <row r="423" spans="1:8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-6453</v>
      </c>
    </row>
    <row r="424" spans="1:8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</v>
      </c>
    </row>
    <row r="434" spans="1:8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44940</v>
      </c>
    </row>
    <row r="435" spans="1:8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44940</v>
      </c>
    </row>
    <row r="438" spans="1:8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1:8" s="483" customFormat="1">
      <c r="C460" s="549"/>
      <c r="F460" s="487" t="s">
        <v>853</v>
      </c>
    </row>
    <row r="461" spans="1:8">
      <c r="A461" s="99" t="str">
        <f t="shared" ref="A461:A524" si="33">pdeName</f>
        <v>"Спиди" АД</v>
      </c>
      <c r="B461" s="99" t="str">
        <f t="shared" ref="B461:B524" si="34">pdeBulstat</f>
        <v>131371780</v>
      </c>
      <c r="C461" s="550">
        <f t="shared" ref="C461:C524" si="35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9573</v>
      </c>
    </row>
    <row r="464" spans="1:8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40306</v>
      </c>
    </row>
    <row r="466" spans="1:8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20271</v>
      </c>
    </row>
    <row r="469" spans="1:8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70150</v>
      </c>
    </row>
    <row r="470" spans="1:8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9371</v>
      </c>
    </row>
    <row r="474" spans="1:8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19692</v>
      </c>
    </row>
    <row r="476" spans="1:8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29063</v>
      </c>
    </row>
    <row r="477" spans="1:8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99213</v>
      </c>
    </row>
    <row r="491" spans="1:8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1905</v>
      </c>
    </row>
    <row r="494" spans="1:8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561</v>
      </c>
    </row>
    <row r="496" spans="1:8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1114</v>
      </c>
    </row>
    <row r="499" spans="1:8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3580</v>
      </c>
    </row>
    <row r="500" spans="1:8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268</v>
      </c>
    </row>
    <row r="504" spans="1:8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268</v>
      </c>
    </row>
    <row r="507" spans="1:8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3848</v>
      </c>
    </row>
    <row r="521" spans="1:8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186</v>
      </c>
    </row>
    <row r="524" spans="1:8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"Спиди" АД</v>
      </c>
      <c r="B525" s="99" t="str">
        <f t="shared" ref="B525:B588" si="37">pdeBulstat</f>
        <v>131371780</v>
      </c>
      <c r="C525" s="550">
        <f t="shared" ref="C525:C588" si="3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2283</v>
      </c>
    </row>
    <row r="526" spans="1:8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308</v>
      </c>
    </row>
    <row r="529" spans="1:8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2777</v>
      </c>
    </row>
    <row r="530" spans="1:8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2777</v>
      </c>
    </row>
    <row r="551" spans="1:8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11292</v>
      </c>
    </row>
    <row r="554" spans="1:8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38584</v>
      </c>
    </row>
    <row r="556" spans="1:8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21077</v>
      </c>
    </row>
    <row r="559" spans="1:8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70953</v>
      </c>
    </row>
    <row r="560" spans="1:8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9639</v>
      </c>
    </row>
    <row r="564" spans="1:8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19692</v>
      </c>
    </row>
    <row r="566" spans="1:8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29331</v>
      </c>
    </row>
    <row r="567" spans="1:8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100284</v>
      </c>
    </row>
    <row r="581" spans="1:8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"Спиди" АД</v>
      </c>
      <c r="B589" s="99" t="str">
        <f t="shared" ref="B589:B652" si="40">pdeBulstat</f>
        <v>131371780</v>
      </c>
      <c r="C589" s="550">
        <f t="shared" ref="C589:C652" si="41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11292</v>
      </c>
    </row>
    <row r="644" spans="1:8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38584</v>
      </c>
    </row>
    <row r="646" spans="1:8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21077</v>
      </c>
    </row>
    <row r="649" spans="1:8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70953</v>
      </c>
    </row>
    <row r="650" spans="1:8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"Спиди" АД</v>
      </c>
      <c r="B653" s="99" t="str">
        <f t="shared" ref="B653:B716" si="43">pdeBulstat</f>
        <v>131371780</v>
      </c>
      <c r="C653" s="550">
        <f t="shared" ref="C653:C716" si="44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9639</v>
      </c>
    </row>
    <row r="654" spans="1:8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19692</v>
      </c>
    </row>
    <row r="656" spans="1:8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29331</v>
      </c>
    </row>
    <row r="657" spans="1:8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100284</v>
      </c>
    </row>
    <row r="671" spans="1:8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4198</v>
      </c>
    </row>
    <row r="674" spans="1:8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22763</v>
      </c>
    </row>
    <row r="676" spans="1:8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9785</v>
      </c>
    </row>
    <row r="679" spans="1:8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36746</v>
      </c>
    </row>
    <row r="680" spans="1:8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5843</v>
      </c>
    </row>
    <row r="684" spans="1:8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1624</v>
      </c>
    </row>
    <row r="686" spans="1:8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7467</v>
      </c>
    </row>
    <row r="687" spans="1:8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44213</v>
      </c>
    </row>
    <row r="701" spans="1:8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521</v>
      </c>
    </row>
    <row r="704" spans="1:8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3076</v>
      </c>
    </row>
    <row r="706" spans="1:8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1175</v>
      </c>
    </row>
    <row r="709" spans="1:8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4772</v>
      </c>
    </row>
    <row r="710" spans="1:8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585</v>
      </c>
    </row>
    <row r="714" spans="1:8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274</v>
      </c>
    </row>
    <row r="716" spans="1:8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859</v>
      </c>
    </row>
    <row r="717" spans="1:8">
      <c r="A717" s="99" t="str">
        <f t="shared" ref="A717:A780" si="45">pdeName</f>
        <v>"Спиди" АД</v>
      </c>
      <c r="B717" s="99" t="str">
        <f t="shared" ref="B717:B780" si="46">pdeBulstat</f>
        <v>131371780</v>
      </c>
      <c r="C717" s="550">
        <f t="shared" ref="C717:C780" si="47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5631</v>
      </c>
    </row>
    <row r="731" spans="1:8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4</v>
      </c>
    </row>
    <row r="734" spans="1:8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2129</v>
      </c>
    </row>
    <row r="736" spans="1:8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88</v>
      </c>
    </row>
    <row r="739" spans="1:8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2221</v>
      </c>
    </row>
    <row r="740" spans="1:8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2221</v>
      </c>
    </row>
    <row r="761" spans="1:8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4715</v>
      </c>
    </row>
    <row r="764" spans="1:8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23710</v>
      </c>
    </row>
    <row r="766" spans="1:8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10872</v>
      </c>
    </row>
    <row r="769" spans="1:8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39297</v>
      </c>
    </row>
    <row r="770" spans="1:8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6428</v>
      </c>
    </row>
    <row r="774" spans="1:8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1898</v>
      </c>
    </row>
    <row r="776" spans="1:8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8326</v>
      </c>
    </row>
    <row r="777" spans="1:8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"Спиди" АД</v>
      </c>
      <c r="B781" s="99" t="str">
        <f t="shared" ref="B781:B844" si="49">pdeBulstat</f>
        <v>131371780</v>
      </c>
      <c r="C781" s="550">
        <f t="shared" ref="C781:C844" si="50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47623</v>
      </c>
    </row>
    <row r="791" spans="1:8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"Спиди" АД</v>
      </c>
      <c r="B845" s="99" t="str">
        <f t="shared" ref="B845:B910" si="52">pdeBulstat</f>
        <v>131371780</v>
      </c>
      <c r="C845" s="550">
        <f t="shared" ref="C845:C910" si="53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4715</v>
      </c>
    </row>
    <row r="854" spans="1:8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23710</v>
      </c>
    </row>
    <row r="856" spans="1:8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10872</v>
      </c>
    </row>
    <row r="859" spans="1:8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39297</v>
      </c>
    </row>
    <row r="860" spans="1:8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6428</v>
      </c>
    </row>
    <row r="864" spans="1:8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1898</v>
      </c>
    </row>
    <row r="866" spans="1:8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8326</v>
      </c>
    </row>
    <row r="867" spans="1:8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47623</v>
      </c>
    </row>
    <row r="881" spans="1:8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6577</v>
      </c>
    </row>
    <row r="884" spans="1:8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14874</v>
      </c>
    </row>
    <row r="886" spans="1:8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10205</v>
      </c>
    </row>
    <row r="889" spans="1:8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31656</v>
      </c>
    </row>
    <row r="890" spans="1:8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3211</v>
      </c>
    </row>
    <row r="894" spans="1:8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17794</v>
      </c>
    </row>
    <row r="896" spans="1:8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21005</v>
      </c>
    </row>
    <row r="897" spans="1:8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52661</v>
      </c>
    </row>
    <row r="911" spans="1:8" s="483" customFormat="1">
      <c r="C911" s="549"/>
      <c r="F911" s="487" t="s">
        <v>839</v>
      </c>
    </row>
    <row r="912" spans="1:8">
      <c r="A912" s="99" t="str">
        <f t="shared" ref="A912:A975" si="54">pdeName</f>
        <v>"Спиди" АД</v>
      </c>
      <c r="B912" s="99" t="str">
        <f t="shared" ref="B912:B975" si="55">pdeBulstat</f>
        <v>131371780</v>
      </c>
      <c r="C912" s="550">
        <f t="shared" ref="C912:C975" si="56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224</v>
      </c>
    </row>
    <row r="919" spans="1:8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224</v>
      </c>
    </row>
    <row r="921" spans="1:8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224</v>
      </c>
    </row>
    <row r="922" spans="1:8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201</v>
      </c>
    </row>
    <row r="923" spans="1:8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910</v>
      </c>
    </row>
    <row r="924" spans="1:8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910</v>
      </c>
    </row>
    <row r="926" spans="1:8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23254</v>
      </c>
    </row>
    <row r="928" spans="1:8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107</v>
      </c>
    </row>
    <row r="933" spans="1:8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107</v>
      </c>
    </row>
    <row r="934" spans="1:8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2422</v>
      </c>
    </row>
    <row r="938" spans="1:8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2422</v>
      </c>
    </row>
    <row r="942" spans="1:8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26693</v>
      </c>
    </row>
    <row r="943" spans="1:8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27118</v>
      </c>
    </row>
    <row r="944" spans="1:8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910</v>
      </c>
    </row>
    <row r="956" spans="1:8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910</v>
      </c>
    </row>
    <row r="958" spans="1:8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23254</v>
      </c>
    </row>
    <row r="960" spans="1:8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107</v>
      </c>
    </row>
    <row r="965" spans="1:8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107</v>
      </c>
    </row>
    <row r="966" spans="1:8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2422</v>
      </c>
    </row>
    <row r="970" spans="1:8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2422</v>
      </c>
    </row>
    <row r="974" spans="1:8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26693</v>
      </c>
    </row>
    <row r="975" spans="1:8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26693</v>
      </c>
    </row>
    <row r="976" spans="1:8">
      <c r="A976" s="99" t="str">
        <f t="shared" ref="A976:A1039" si="57">pdeName</f>
        <v>"Спиди" АД</v>
      </c>
      <c r="B976" s="99" t="str">
        <f t="shared" ref="B976:B1039" si="58">pdeBulstat</f>
        <v>131371780</v>
      </c>
      <c r="C976" s="550">
        <f t="shared" ref="C976:C1039" si="5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224</v>
      </c>
    </row>
    <row r="983" spans="1:8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224</v>
      </c>
    </row>
    <row r="985" spans="1:8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224</v>
      </c>
    </row>
    <row r="986" spans="1:8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201</v>
      </c>
    </row>
    <row r="987" spans="1:8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425</v>
      </c>
    </row>
    <row r="1008" spans="1:8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10279</v>
      </c>
    </row>
    <row r="1013" spans="1:8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4438</v>
      </c>
    </row>
    <row r="1014" spans="1:8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5841</v>
      </c>
    </row>
    <row r="1016" spans="1:8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157</v>
      </c>
    </row>
    <row r="1021" spans="1:8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10436</v>
      </c>
    </row>
    <row r="1023" spans="1:8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963</v>
      </c>
    </row>
    <row r="1024" spans="1:8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493</v>
      </c>
    </row>
    <row r="1025" spans="1:8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493</v>
      </c>
    </row>
    <row r="1026" spans="1:8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8005</v>
      </c>
    </row>
    <row r="1029" spans="1:8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2989</v>
      </c>
    </row>
    <row r="1030" spans="1:8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5016</v>
      </c>
    </row>
    <row r="1032" spans="1:8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13879</v>
      </c>
    </row>
    <row r="1039" spans="1:8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"Спиди" АД</v>
      </c>
      <c r="B1040" s="99" t="str">
        <f t="shared" ref="B1040:B1103" si="61">pdeBulstat</f>
        <v>131371780</v>
      </c>
      <c r="C1040" s="550">
        <f t="shared" ref="C1040:C1103" si="62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8168</v>
      </c>
    </row>
    <row r="1041" spans="1:8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3100</v>
      </c>
    </row>
    <row r="1043" spans="1:8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1528</v>
      </c>
    </row>
    <row r="1044" spans="1:8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233</v>
      </c>
    </row>
    <row r="1045" spans="1:8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935</v>
      </c>
    </row>
    <row r="1046" spans="1:8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360</v>
      </c>
    </row>
    <row r="1047" spans="1:8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1083</v>
      </c>
    </row>
    <row r="1048" spans="1:8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12474</v>
      </c>
    </row>
    <row r="1049" spans="1:8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34851</v>
      </c>
    </row>
    <row r="1050" spans="1:8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46250</v>
      </c>
    </row>
    <row r="1051" spans="1:8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493</v>
      </c>
    </row>
    <row r="1068" spans="1:8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493</v>
      </c>
    </row>
    <row r="1069" spans="1:8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8005</v>
      </c>
    </row>
    <row r="1072" spans="1:8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2989</v>
      </c>
    </row>
    <row r="1073" spans="1:8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5016</v>
      </c>
    </row>
    <row r="1075" spans="1:8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13879</v>
      </c>
    </row>
    <row r="1082" spans="1:8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8168</v>
      </c>
    </row>
    <row r="1084" spans="1:8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3100</v>
      </c>
    </row>
    <row r="1086" spans="1:8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1528</v>
      </c>
    </row>
    <row r="1087" spans="1:8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233</v>
      </c>
    </row>
    <row r="1088" spans="1:8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935</v>
      </c>
    </row>
    <row r="1089" spans="1:8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360</v>
      </c>
    </row>
    <row r="1090" spans="1:8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1083</v>
      </c>
    </row>
    <row r="1091" spans="1:8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12474</v>
      </c>
    </row>
    <row r="1092" spans="1:8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34851</v>
      </c>
    </row>
    <row r="1093" spans="1:8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34851</v>
      </c>
    </row>
    <row r="1094" spans="1:8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10279</v>
      </c>
    </row>
    <row r="1099" spans="1:8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4438</v>
      </c>
    </row>
    <row r="1100" spans="1:8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5841</v>
      </c>
    </row>
    <row r="1102" spans="1:8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"Спиди" АД</v>
      </c>
      <c r="B1104" s="99" t="str">
        <f t="shared" ref="B1104:B1167" si="64">pdeBulstat</f>
        <v>131371780</v>
      </c>
      <c r="C1104" s="550">
        <f t="shared" ref="C1104:C1167" si="65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157</v>
      </c>
    </row>
    <row r="1107" spans="1:8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10436</v>
      </c>
    </row>
    <row r="1109" spans="1:8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963</v>
      </c>
    </row>
    <row r="1110" spans="1:8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11399</v>
      </c>
    </row>
    <row r="1137" spans="1:8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"Спиди" АД</v>
      </c>
      <c r="B1168" s="99" t="str">
        <f t="shared" ref="B1168:B1195" si="67">pdeBulstat</f>
        <v>131371780</v>
      </c>
      <c r="C1168" s="550">
        <f t="shared" ref="C1168:C1195" si="68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1:8" s="483" customFormat="1">
      <c r="C1196" s="549"/>
      <c r="F1196" s="487" t="s">
        <v>852</v>
      </c>
    </row>
    <row r="1197" spans="1:8">
      <c r="A1197" s="99" t="str">
        <f t="shared" ref="A1197:A1228" si="69">pdeName</f>
        <v>"Спиди" АД</v>
      </c>
      <c r="B1197" s="99" t="str">
        <f t="shared" ref="B1197:B1228" si="70">pdeBulstat</f>
        <v>131371780</v>
      </c>
      <c r="C1197" s="550">
        <f t="shared" ref="C1197:C1228" si="71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>
      <c r="A1229" s="99" t="str">
        <f t="shared" ref="A1229:A1260" si="72">pdeName</f>
        <v>"Спиди" АД</v>
      </c>
      <c r="B1229" s="99" t="str">
        <f t="shared" ref="B1229:B1260" si="73">pdeBulstat</f>
        <v>131371780</v>
      </c>
      <c r="C1229" s="550">
        <f t="shared" ref="C1229:C1260" si="74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>
      <c r="A1261" s="99" t="str">
        <f t="shared" ref="A1261:A1294" si="75">pdeName</f>
        <v>"Спиди" АД</v>
      </c>
      <c r="B1261" s="99" t="str">
        <f t="shared" ref="B1261:B1294" si="76">pdeBulstat</f>
        <v>131371780</v>
      </c>
      <c r="C1261" s="550">
        <f t="shared" ref="C1261:C1294" si="77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70" zoomScale="80" zoomScaleNormal="85" zoomScaleSheetLayoutView="80" workbookViewId="0">
      <selection activeCell="D95" sqref="D95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43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131371780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2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2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2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8">
        <v>5378</v>
      </c>
    </row>
    <row r="13" spans="1:8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5378</v>
      </c>
      <c r="H13" s="188">
        <v>5378</v>
      </c>
    </row>
    <row r="14" spans="1:8">
      <c r="A14" s="84" t="s">
        <v>30</v>
      </c>
      <c r="B14" s="86" t="s">
        <v>31</v>
      </c>
      <c r="C14" s="188">
        <v>6577</v>
      </c>
      <c r="D14" s="187">
        <v>6806</v>
      </c>
      <c r="E14" s="84" t="s">
        <v>32</v>
      </c>
      <c r="F14" s="87" t="s">
        <v>33</v>
      </c>
      <c r="G14" s="188"/>
      <c r="H14" s="188"/>
    </row>
    <row r="15" spans="1:8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8"/>
    </row>
    <row r="16" spans="1:8">
      <c r="A16" s="84" t="s">
        <v>38</v>
      </c>
      <c r="B16" s="86" t="s">
        <v>39</v>
      </c>
      <c r="C16" s="188">
        <v>14874</v>
      </c>
      <c r="D16" s="187">
        <v>17543</v>
      </c>
      <c r="E16" s="191" t="s">
        <v>40</v>
      </c>
      <c r="F16" s="87" t="s">
        <v>41</v>
      </c>
      <c r="G16" s="188"/>
      <c r="H16" s="188"/>
    </row>
    <row r="17" spans="1:13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8"/>
    </row>
    <row r="18" spans="1:13" ht="31.2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13" ht="16.2">
      <c r="A19" s="84" t="s">
        <v>49</v>
      </c>
      <c r="B19" s="86" t="s">
        <v>50</v>
      </c>
      <c r="C19" s="188">
        <f>8951+1254</f>
        <v>10205</v>
      </c>
      <c r="D19" s="187">
        <v>10119</v>
      </c>
      <c r="E19" s="94" t="s">
        <v>51</v>
      </c>
      <c r="F19" s="89"/>
      <c r="G19" s="580"/>
      <c r="H19" s="581"/>
    </row>
    <row r="20" spans="1:13" ht="16.2">
      <c r="A20" s="469" t="s">
        <v>52</v>
      </c>
      <c r="B20" s="90" t="s">
        <v>53</v>
      </c>
      <c r="C20" s="566">
        <f>SUM(C12:C19)</f>
        <v>31656</v>
      </c>
      <c r="D20" s="567">
        <f>SUM(D12:D19)</f>
        <v>34468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13" ht="16.2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6.2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-218</v>
      </c>
      <c r="H22" s="583">
        <f>SUM(H23:H25)</f>
        <v>-224</v>
      </c>
      <c r="M22" s="92"/>
    </row>
    <row r="23" spans="1:13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8"/>
      <c r="M24" s="92"/>
    </row>
    <row r="25" spans="1:13">
      <c r="A25" s="84" t="s">
        <v>71</v>
      </c>
      <c r="B25" s="86" t="s">
        <v>72</v>
      </c>
      <c r="C25" s="188">
        <v>3211</v>
      </c>
      <c r="D25" s="187">
        <v>4370</v>
      </c>
      <c r="E25" s="84" t="s">
        <v>73</v>
      </c>
      <c r="F25" s="87" t="s">
        <v>74</v>
      </c>
      <c r="G25" s="188">
        <v>-756</v>
      </c>
      <c r="H25" s="188">
        <v>-762</v>
      </c>
    </row>
    <row r="26" spans="1:13" ht="16.2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19347</v>
      </c>
      <c r="H26" s="567">
        <f>H20+H21+H22</f>
        <v>19341</v>
      </c>
      <c r="M26" s="92"/>
    </row>
    <row r="27" spans="1:13" ht="16.2">
      <c r="A27" s="84" t="s">
        <v>79</v>
      </c>
      <c r="B27" s="86" t="s">
        <v>80</v>
      </c>
      <c r="C27" s="188">
        <v>17794</v>
      </c>
      <c r="D27" s="187">
        <v>18068</v>
      </c>
      <c r="E27" s="94" t="s">
        <v>81</v>
      </c>
      <c r="F27" s="89"/>
      <c r="G27" s="580"/>
      <c r="H27" s="581"/>
    </row>
    <row r="28" spans="1:13" ht="16.2">
      <c r="A28" s="469" t="s">
        <v>82</v>
      </c>
      <c r="B28" s="91" t="s">
        <v>83</v>
      </c>
      <c r="C28" s="566">
        <f>SUM(C24:C27)</f>
        <v>21005</v>
      </c>
      <c r="D28" s="567">
        <f>SUM(D24:D27)</f>
        <v>22438</v>
      </c>
      <c r="E28" s="193" t="s">
        <v>84</v>
      </c>
      <c r="F28" s="87" t="s">
        <v>85</v>
      </c>
      <c r="G28" s="564">
        <f>SUM(G29:G31)</f>
        <v>14343</v>
      </c>
      <c r="H28" s="565">
        <f>SUM(H29:H31)</f>
        <v>13625</v>
      </c>
      <c r="M28" s="92"/>
    </row>
    <row r="29" spans="1:13">
      <c r="A29" s="84"/>
      <c r="B29" s="86"/>
      <c r="C29" s="564"/>
      <c r="D29" s="565"/>
      <c r="E29" s="84" t="s">
        <v>86</v>
      </c>
      <c r="F29" s="87" t="s">
        <v>87</v>
      </c>
      <c r="G29" s="188">
        <v>14343</v>
      </c>
      <c r="H29" s="187">
        <v>13625</v>
      </c>
    </row>
    <row r="30" spans="1:13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5872</v>
      </c>
      <c r="H32" s="187">
        <v>7171</v>
      </c>
      <c r="M32" s="92"/>
    </row>
    <row r="33" spans="1:13" ht="16.2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13" ht="16.2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20215</v>
      </c>
      <c r="H34" s="567">
        <f>H28+H32+H33</f>
        <v>20796</v>
      </c>
    </row>
    <row r="35" spans="1:13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13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44940</v>
      </c>
      <c r="H37" s="569">
        <f>H26+H18+H34</f>
        <v>45515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13" ht="16.2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13" ht="16.2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10086+193</f>
        <v>10279</v>
      </c>
      <c r="H45" s="187">
        <v>13652</v>
      </c>
    </row>
    <row r="46" spans="1:13" ht="16.2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157</v>
      </c>
      <c r="H49" s="187">
        <v>157</v>
      </c>
    </row>
    <row r="50" spans="1:13" ht="16.2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10436</v>
      </c>
      <c r="H50" s="565">
        <f>SUM(H44:H49)</f>
        <v>13809</v>
      </c>
    </row>
    <row r="51" spans="1:13">
      <c r="A51" s="84" t="s">
        <v>79</v>
      </c>
      <c r="B51" s="86" t="s">
        <v>155</v>
      </c>
      <c r="C51" s="188">
        <v>224</v>
      </c>
      <c r="D51" s="188">
        <v>213</v>
      </c>
      <c r="E51" s="84"/>
      <c r="F51" s="87"/>
      <c r="G51" s="564"/>
      <c r="H51" s="565"/>
    </row>
    <row r="52" spans="1:13" ht="16.2">
      <c r="A52" s="469" t="s">
        <v>156</v>
      </c>
      <c r="B52" s="90" t="s">
        <v>157</v>
      </c>
      <c r="C52" s="566">
        <f>SUM(C48:C51)</f>
        <v>224</v>
      </c>
      <c r="D52" s="567">
        <f>SUM(D48:D51)</f>
        <v>213</v>
      </c>
      <c r="E52" s="192" t="s">
        <v>158</v>
      </c>
      <c r="F52" s="89" t="s">
        <v>159</v>
      </c>
      <c r="G52" s="188"/>
      <c r="H52" s="187"/>
    </row>
    <row r="53" spans="1:13" ht="16.2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13" ht="16.2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963</v>
      </c>
      <c r="H54" s="188">
        <v>963</v>
      </c>
    </row>
    <row r="55" spans="1:13" ht="16.2">
      <c r="A55" s="94" t="s">
        <v>166</v>
      </c>
      <c r="B55" s="90" t="s">
        <v>167</v>
      </c>
      <c r="C55" s="465">
        <v>265</v>
      </c>
      <c r="D55" s="465">
        <v>265</v>
      </c>
      <c r="E55" s="84" t="s">
        <v>168</v>
      </c>
      <c r="F55" s="89" t="s">
        <v>169</v>
      </c>
      <c r="G55" s="188">
        <v>279</v>
      </c>
      <c r="H55" s="188">
        <v>439</v>
      </c>
    </row>
    <row r="56" spans="1:13" ht="16.2" thickBot="1">
      <c r="A56" s="462" t="s">
        <v>170</v>
      </c>
      <c r="B56" s="199" t="s">
        <v>171</v>
      </c>
      <c r="C56" s="570">
        <f>C20+C21+C22+C28+C33+C46+C52+C54+C55</f>
        <v>53150</v>
      </c>
      <c r="D56" s="571">
        <f>D20+D21+D22+D28+D33+D46+D52+D54+D55</f>
        <v>57384</v>
      </c>
      <c r="E56" s="94" t="s">
        <v>825</v>
      </c>
      <c r="F56" s="93" t="s">
        <v>172</v>
      </c>
      <c r="G56" s="568">
        <f>G50+G52+G53+G54+G55</f>
        <v>11678</v>
      </c>
      <c r="H56" s="569">
        <f>H50+H52+H53+H54+H55</f>
        <v>15211</v>
      </c>
      <c r="M56" s="92"/>
    </row>
    <row r="57" spans="1:13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13" ht="31.2">
      <c r="A59" s="84" t="s">
        <v>176</v>
      </c>
      <c r="B59" s="86" t="s">
        <v>177</v>
      </c>
      <c r="C59" s="188">
        <v>520</v>
      </c>
      <c r="D59" s="188">
        <v>417</v>
      </c>
      <c r="E59" s="192" t="s">
        <v>180</v>
      </c>
      <c r="F59" s="473" t="s">
        <v>181</v>
      </c>
      <c r="G59" s="188">
        <f>7920+85</f>
        <v>8005</v>
      </c>
      <c r="H59" s="188">
        <v>8557</v>
      </c>
    </row>
    <row r="60" spans="1:13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13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14372</v>
      </c>
      <c r="H61" s="565">
        <f>SUM(H62:H68)</f>
        <v>14899</v>
      </c>
    </row>
    <row r="62" spans="1:13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493</v>
      </c>
      <c r="H62" s="187">
        <v>524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8168</v>
      </c>
      <c r="H64" s="187">
        <v>8490</v>
      </c>
      <c r="M64" s="92"/>
    </row>
    <row r="65" spans="1:13" ht="16.2">
      <c r="A65" s="469" t="s">
        <v>52</v>
      </c>
      <c r="B65" s="90" t="s">
        <v>198</v>
      </c>
      <c r="C65" s="566">
        <f>SUM(C59:C64)</f>
        <v>520</v>
      </c>
      <c r="D65" s="567">
        <f>SUM(D59:D64)</f>
        <v>417</v>
      </c>
      <c r="E65" s="84" t="s">
        <v>201</v>
      </c>
      <c r="F65" s="87" t="s">
        <v>202</v>
      </c>
      <c r="G65" s="188"/>
      <c r="H65" s="187"/>
    </row>
    <row r="66" spans="1:13" ht="16.2">
      <c r="A66" s="84"/>
      <c r="B66" s="90"/>
      <c r="C66" s="564"/>
      <c r="D66" s="565"/>
      <c r="E66" s="84" t="s">
        <v>204</v>
      </c>
      <c r="F66" s="87" t="s">
        <v>205</v>
      </c>
      <c r="G66" s="188">
        <v>3100</v>
      </c>
      <c r="H66" s="187">
        <v>3205</v>
      </c>
    </row>
    <row r="67" spans="1:13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1083</v>
      </c>
      <c r="H67" s="187">
        <v>1016</v>
      </c>
    </row>
    <row r="68" spans="1:13">
      <c r="A68" s="84" t="s">
        <v>206</v>
      </c>
      <c r="B68" s="86" t="s">
        <v>207</v>
      </c>
      <c r="C68" s="188">
        <v>910</v>
      </c>
      <c r="D68" s="187">
        <v>371</v>
      </c>
      <c r="E68" s="84" t="s">
        <v>212</v>
      </c>
      <c r="F68" s="87" t="s">
        <v>213</v>
      </c>
      <c r="G68" s="188">
        <v>1528</v>
      </c>
      <c r="H68" s="187">
        <v>1664</v>
      </c>
    </row>
    <row r="69" spans="1:13">
      <c r="A69" s="84" t="s">
        <v>210</v>
      </c>
      <c r="B69" s="86" t="s">
        <v>211</v>
      </c>
      <c r="C69" s="188">
        <f>23254-734</f>
        <v>22520</v>
      </c>
      <c r="D69" s="187">
        <v>19345</v>
      </c>
      <c r="E69" s="192" t="s">
        <v>79</v>
      </c>
      <c r="F69" s="87" t="s">
        <v>216</v>
      </c>
      <c r="G69" s="188">
        <v>12474</v>
      </c>
      <c r="H69" s="187">
        <v>9216</v>
      </c>
    </row>
    <row r="70" spans="1:13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13" ht="16.2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34851</v>
      </c>
      <c r="H71" s="567">
        <f>H59+H60+H61+H69+H70</f>
        <v>32672</v>
      </c>
    </row>
    <row r="72" spans="1:13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13" ht="16.2">
      <c r="A73" s="84" t="s">
        <v>224</v>
      </c>
      <c r="B73" s="86" t="s">
        <v>225</v>
      </c>
      <c r="C73" s="188">
        <v>107</v>
      </c>
      <c r="D73" s="187">
        <v>284</v>
      </c>
      <c r="E73" s="460" t="s">
        <v>230</v>
      </c>
      <c r="F73" s="89" t="s">
        <v>231</v>
      </c>
      <c r="G73" s="465"/>
      <c r="H73" s="466"/>
    </row>
    <row r="74" spans="1:13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13" ht="16.2">
      <c r="A75" s="84" t="s">
        <v>228</v>
      </c>
      <c r="B75" s="86" t="s">
        <v>229</v>
      </c>
      <c r="C75" s="188">
        <f>2422+734</f>
        <v>3156</v>
      </c>
      <c r="D75" s="187">
        <v>3254</v>
      </c>
      <c r="E75" s="472" t="s">
        <v>160</v>
      </c>
      <c r="F75" s="89" t="s">
        <v>233</v>
      </c>
      <c r="G75" s="465"/>
      <c r="H75" s="466"/>
    </row>
    <row r="76" spans="1:13" ht="16.2">
      <c r="A76" s="469" t="s">
        <v>77</v>
      </c>
      <c r="B76" s="90" t="s">
        <v>232</v>
      </c>
      <c r="C76" s="566">
        <f>SUM(C68:C75)</f>
        <v>26693</v>
      </c>
      <c r="D76" s="567">
        <f>SUM(D68:D75)</f>
        <v>23254</v>
      </c>
      <c r="E76" s="539"/>
      <c r="F76" s="540"/>
      <c r="G76" s="564"/>
      <c r="H76" s="590"/>
    </row>
    <row r="77" spans="1:13" ht="16.2">
      <c r="A77" s="84"/>
      <c r="B77" s="86"/>
      <c r="C77" s="564"/>
      <c r="D77" s="565"/>
      <c r="E77" s="460" t="s">
        <v>234</v>
      </c>
      <c r="F77" s="89" t="s">
        <v>235</v>
      </c>
      <c r="G77" s="465">
        <v>320</v>
      </c>
      <c r="H77" s="465">
        <v>320</v>
      </c>
    </row>
    <row r="78" spans="1:13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13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35171</v>
      </c>
      <c r="H79" s="569">
        <f>H71+H73+H75+H77</f>
        <v>32992</v>
      </c>
    </row>
    <row r="80" spans="1:13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13" ht="16.2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6.2">
      <c r="A86" s="84"/>
      <c r="B86" s="90"/>
      <c r="C86" s="564"/>
      <c r="D86" s="565"/>
      <c r="E86" s="198"/>
      <c r="F86" s="97"/>
      <c r="G86" s="591"/>
      <c r="H86" s="592"/>
      <c r="M86" s="92"/>
    </row>
    <row r="87" spans="1:13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>
      <c r="A88" s="84" t="s">
        <v>252</v>
      </c>
      <c r="B88" s="86" t="s">
        <v>253</v>
      </c>
      <c r="C88" s="188">
        <v>239</v>
      </c>
      <c r="D88" s="187">
        <v>163</v>
      </c>
      <c r="E88" s="198"/>
      <c r="F88" s="97"/>
      <c r="G88" s="591"/>
      <c r="H88" s="592"/>
      <c r="M88" s="92"/>
    </row>
    <row r="89" spans="1:13">
      <c r="A89" s="84" t="s">
        <v>254</v>
      </c>
      <c r="B89" s="86" t="s">
        <v>255</v>
      </c>
      <c r="C89" s="188">
        <f>8690+2041+456</f>
        <v>11187</v>
      </c>
      <c r="D89" s="187">
        <v>12500</v>
      </c>
      <c r="E89" s="195"/>
      <c r="F89" s="97"/>
      <c r="G89" s="591"/>
      <c r="H89" s="592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6.2">
      <c r="A92" s="469" t="s">
        <v>823</v>
      </c>
      <c r="B92" s="90" t="s">
        <v>260</v>
      </c>
      <c r="C92" s="566">
        <f>SUM(C88:C91)</f>
        <v>11426</v>
      </c>
      <c r="D92" s="567">
        <f>SUM(D88:D91)</f>
        <v>12663</v>
      </c>
      <c r="E92" s="195"/>
      <c r="F92" s="97"/>
      <c r="G92" s="591"/>
      <c r="H92" s="592"/>
      <c r="M92" s="92"/>
    </row>
    <row r="93" spans="1:13" ht="16.2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2" thickBot="1">
      <c r="A94" s="477" t="s">
        <v>263</v>
      </c>
      <c r="B94" s="217" t="s">
        <v>264</v>
      </c>
      <c r="C94" s="570">
        <f>C65+C76+C85+C92+C93</f>
        <v>38639</v>
      </c>
      <c r="D94" s="571">
        <f>D65+D76+D85+D92+D93</f>
        <v>36334</v>
      </c>
      <c r="E94" s="218"/>
      <c r="F94" s="219"/>
      <c r="G94" s="593"/>
      <c r="H94" s="594"/>
      <c r="M94" s="92"/>
    </row>
    <row r="95" spans="1:13" ht="31.8" thickBot="1">
      <c r="A95" s="474" t="s">
        <v>265</v>
      </c>
      <c r="B95" s="475" t="s">
        <v>266</v>
      </c>
      <c r="C95" s="572">
        <f>C94+C56</f>
        <v>91789</v>
      </c>
      <c r="D95" s="573">
        <f>D94+D56</f>
        <v>93718</v>
      </c>
      <c r="E95" s="220" t="s">
        <v>916</v>
      </c>
      <c r="F95" s="476" t="s">
        <v>268</v>
      </c>
      <c r="G95" s="572">
        <f>G37+G40+G56+G79</f>
        <v>91789</v>
      </c>
      <c r="H95" s="573">
        <f>H37+H40+H56+H79</f>
        <v>93718</v>
      </c>
    </row>
    <row r="96" spans="1:13">
      <c r="A96" s="165"/>
      <c r="B96" s="541"/>
      <c r="C96" s="165"/>
      <c r="D96" s="165"/>
      <c r="E96" s="542"/>
      <c r="M96" s="92"/>
    </row>
    <row r="97" spans="1:13">
      <c r="A97" s="544"/>
      <c r="B97" s="541"/>
      <c r="C97" s="165"/>
      <c r="D97" s="165"/>
      <c r="E97" s="542"/>
      <c r="M97" s="92"/>
    </row>
    <row r="98" spans="1:13">
      <c r="A98" s="661" t="s">
        <v>950</v>
      </c>
      <c r="B98" s="669">
        <f>pdeReportingDate</f>
        <v>43308</v>
      </c>
      <c r="C98" s="669"/>
      <c r="D98" s="669"/>
      <c r="E98" s="669"/>
      <c r="F98" s="669"/>
      <c r="G98" s="669"/>
      <c r="H98" s="669"/>
      <c r="M98" s="92"/>
    </row>
    <row r="99" spans="1:13">
      <c r="A99" s="661"/>
      <c r="B99" s="51"/>
      <c r="C99" s="51"/>
      <c r="D99" s="51"/>
      <c r="E99" s="51"/>
      <c r="F99" s="51"/>
      <c r="G99" s="51"/>
      <c r="H99" s="51"/>
      <c r="M99" s="92"/>
    </row>
    <row r="100" spans="1:13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13">
      <c r="A101" s="662"/>
      <c r="B101" s="75"/>
      <c r="C101" s="75"/>
      <c r="D101" s="75"/>
      <c r="E101" s="75"/>
      <c r="F101" s="75"/>
      <c r="G101" s="75"/>
      <c r="H101" s="75"/>
    </row>
    <row r="102" spans="1:13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13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13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13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spans="5:13">
      <c r="E117" s="545"/>
    </row>
    <row r="119" spans="5:13">
      <c r="E119" s="545"/>
      <c r="M119" s="92"/>
    </row>
    <row r="121" spans="5:13">
      <c r="E121" s="545"/>
      <c r="M121" s="92"/>
    </row>
    <row r="123" spans="5:13">
      <c r="E123" s="545"/>
    </row>
    <row r="125" spans="5:13">
      <c r="E125" s="545"/>
      <c r="M125" s="92"/>
    </row>
    <row r="127" spans="5:13">
      <c r="E127" s="545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5"/>
      <c r="M135" s="92"/>
    </row>
    <row r="137" spans="5:13">
      <c r="E137" s="545"/>
      <c r="M137" s="92"/>
    </row>
    <row r="139" spans="5:13">
      <c r="E139" s="545"/>
      <c r="M139" s="92"/>
    </row>
    <row r="141" spans="5:13">
      <c r="E141" s="545"/>
      <c r="M141" s="92"/>
    </row>
    <row r="143" spans="5:13">
      <c r="E143" s="545"/>
    </row>
    <row r="145" spans="5:13">
      <c r="E145" s="545"/>
    </row>
    <row r="147" spans="5:13">
      <c r="E147" s="545"/>
    </row>
    <row r="149" spans="5:13">
      <c r="E149" s="545"/>
      <c r="M149" s="92"/>
    </row>
    <row r="151" spans="5:13">
      <c r="M151" s="92"/>
    </row>
    <row r="153" spans="5:13">
      <c r="M153" s="92"/>
    </row>
    <row r="159" spans="5:13">
      <c r="E159" s="545"/>
    </row>
    <row r="161" spans="1:18" s="543" customFormat="1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9" zoomScale="80" zoomScaleNormal="70" zoomScaleSheetLayoutView="80" workbookViewId="0">
      <selection activeCell="D42" sqref="D42"/>
    </sheetView>
  </sheetViews>
  <sheetFormatPr defaultColWidth="9.33203125" defaultRowHeight="15.6"/>
  <cols>
    <col min="1" max="1" width="50.6640625" style="538" customWidth="1"/>
    <col min="2" max="2" width="10.6640625" style="538" customWidth="1"/>
    <col min="3" max="4" width="15.6640625" style="182" customWidth="1"/>
    <col min="5" max="5" width="50.6640625" style="538" customWidth="1"/>
    <col min="6" max="6" width="10.6640625" style="538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2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2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2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6.2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3773</v>
      </c>
      <c r="D12" s="307">
        <v>3395</v>
      </c>
      <c r="E12" s="185" t="s">
        <v>277</v>
      </c>
      <c r="F12" s="231" t="s">
        <v>278</v>
      </c>
      <c r="G12" s="307"/>
      <c r="H12" s="308"/>
    </row>
    <row r="13" spans="1:8">
      <c r="A13" s="185" t="s">
        <v>279</v>
      </c>
      <c r="B13" s="181" t="s">
        <v>280</v>
      </c>
      <c r="C13" s="307">
        <v>46509</v>
      </c>
      <c r="D13" s="307">
        <v>47484</v>
      </c>
      <c r="E13" s="185" t="s">
        <v>281</v>
      </c>
      <c r="F13" s="231" t="s">
        <v>282</v>
      </c>
      <c r="G13" s="307"/>
      <c r="H13" s="308"/>
    </row>
    <row r="14" spans="1:8">
      <c r="A14" s="185" t="s">
        <v>283</v>
      </c>
      <c r="B14" s="181" t="s">
        <v>284</v>
      </c>
      <c r="C14" s="307">
        <v>5628</v>
      </c>
      <c r="D14" s="307">
        <v>5226</v>
      </c>
      <c r="E14" s="236" t="s">
        <v>285</v>
      </c>
      <c r="F14" s="231" t="s">
        <v>286</v>
      </c>
      <c r="G14" s="307">
        <v>76819</v>
      </c>
      <c r="H14" s="307">
        <v>73587</v>
      </c>
    </row>
    <row r="15" spans="1:8">
      <c r="A15" s="185" t="s">
        <v>287</v>
      </c>
      <c r="B15" s="181" t="s">
        <v>288</v>
      </c>
      <c r="C15" s="307">
        <v>13462</v>
      </c>
      <c r="D15" s="307">
        <v>12179</v>
      </c>
      <c r="E15" s="236" t="s">
        <v>79</v>
      </c>
      <c r="F15" s="231" t="s">
        <v>289</v>
      </c>
      <c r="G15" s="307">
        <v>3949</v>
      </c>
      <c r="H15" s="307">
        <v>3441</v>
      </c>
    </row>
    <row r="16" spans="1:8" ht="16.2">
      <c r="A16" s="185" t="s">
        <v>290</v>
      </c>
      <c r="B16" s="181" t="s">
        <v>291</v>
      </c>
      <c r="C16" s="307">
        <v>3402</v>
      </c>
      <c r="D16" s="307">
        <v>3013</v>
      </c>
      <c r="E16" s="227" t="s">
        <v>52</v>
      </c>
      <c r="F16" s="255" t="s">
        <v>292</v>
      </c>
      <c r="G16" s="597">
        <f>SUM(G12:G15)</f>
        <v>80768</v>
      </c>
      <c r="H16" s="598">
        <f>SUM(H12:H15)</f>
        <v>77028</v>
      </c>
    </row>
    <row r="17" spans="1:8" ht="31.2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2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160</v>
      </c>
      <c r="H18" s="609">
        <v>153</v>
      </c>
    </row>
    <row r="19" spans="1:8">
      <c r="A19" s="185" t="s">
        <v>299</v>
      </c>
      <c r="B19" s="181" t="s">
        <v>300</v>
      </c>
      <c r="C19" s="307">
        <v>1083</v>
      </c>
      <c r="D19" s="307">
        <v>2005</v>
      </c>
      <c r="E19" s="185" t="s">
        <v>301</v>
      </c>
      <c r="F19" s="228" t="s">
        <v>302</v>
      </c>
      <c r="G19" s="307"/>
      <c r="H19" s="308"/>
    </row>
    <row r="20" spans="1:8" ht="16.2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6.2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6.2">
      <c r="A22" s="227" t="s">
        <v>52</v>
      </c>
      <c r="B22" s="183" t="s">
        <v>308</v>
      </c>
      <c r="C22" s="597">
        <f>SUM(C12:C18)+C19</f>
        <v>73857</v>
      </c>
      <c r="D22" s="598">
        <f>SUM(D12:D18)+D19</f>
        <v>73302</v>
      </c>
      <c r="E22" s="185" t="s">
        <v>309</v>
      </c>
      <c r="F22" s="228" t="s">
        <v>310</v>
      </c>
      <c r="G22" s="307">
        <v>75</v>
      </c>
      <c r="H22" s="307">
        <v>66</v>
      </c>
    </row>
    <row r="23" spans="1:8" ht="16.2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2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2">
      <c r="A25" s="185" t="s">
        <v>316</v>
      </c>
      <c r="B25" s="228" t="s">
        <v>317</v>
      </c>
      <c r="C25" s="307">
        <v>228</v>
      </c>
      <c r="D25" s="307">
        <v>329</v>
      </c>
      <c r="E25" s="185" t="s">
        <v>318</v>
      </c>
      <c r="F25" s="228" t="s">
        <v>319</v>
      </c>
      <c r="G25" s="307"/>
      <c r="H25" s="307"/>
    </row>
    <row r="26" spans="1:8" ht="31.2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2">
      <c r="A27" s="185" t="s">
        <v>324</v>
      </c>
      <c r="B27" s="228" t="s">
        <v>325</v>
      </c>
      <c r="C27" s="307">
        <v>253</v>
      </c>
      <c r="D27" s="307">
        <v>218</v>
      </c>
      <c r="E27" s="227" t="s">
        <v>104</v>
      </c>
      <c r="F27" s="229" t="s">
        <v>326</v>
      </c>
      <c r="G27" s="597">
        <f>SUM(G22:G26)</f>
        <v>75</v>
      </c>
      <c r="H27" s="598">
        <f>SUM(H22:H26)</f>
        <v>66</v>
      </c>
    </row>
    <row r="28" spans="1:8">
      <c r="A28" s="185" t="s">
        <v>79</v>
      </c>
      <c r="B28" s="228" t="s">
        <v>327</v>
      </c>
      <c r="C28" s="307"/>
      <c r="D28" s="307"/>
      <c r="E28" s="226"/>
      <c r="F28" s="180"/>
      <c r="G28" s="184"/>
      <c r="H28" s="234"/>
    </row>
    <row r="29" spans="1:8" ht="16.2">
      <c r="A29" s="227" t="s">
        <v>77</v>
      </c>
      <c r="B29" s="229" t="s">
        <v>328</v>
      </c>
      <c r="C29" s="597">
        <f>SUM(C25:C28)</f>
        <v>481</v>
      </c>
      <c r="D29" s="598">
        <f>SUM(D25:D28)</f>
        <v>547</v>
      </c>
      <c r="E29" s="185"/>
      <c r="F29" s="180"/>
      <c r="G29" s="184"/>
      <c r="H29" s="234"/>
    </row>
    <row r="30" spans="1:8" ht="16.8" thickBot="1">
      <c r="A30" s="246"/>
      <c r="B30" s="247"/>
      <c r="C30" s="258"/>
      <c r="D30" s="259"/>
      <c r="E30" s="248"/>
      <c r="F30" s="256"/>
      <c r="G30" s="250"/>
      <c r="H30" s="251"/>
    </row>
    <row r="31" spans="1:8" ht="31.2">
      <c r="A31" s="242" t="s">
        <v>329</v>
      </c>
      <c r="B31" s="222" t="s">
        <v>330</v>
      </c>
      <c r="C31" s="603">
        <f>C29+C22</f>
        <v>74338</v>
      </c>
      <c r="D31" s="604">
        <f>D29+D22</f>
        <v>73849</v>
      </c>
      <c r="E31" s="242" t="s">
        <v>800</v>
      </c>
      <c r="F31" s="257" t="s">
        <v>331</v>
      </c>
      <c r="G31" s="244">
        <f>G16+G18+G27</f>
        <v>81003</v>
      </c>
      <c r="H31" s="245">
        <f>H16+H18+H27</f>
        <v>77247</v>
      </c>
    </row>
    <row r="32" spans="1:8">
      <c r="A32" s="224"/>
      <c r="B32" s="177"/>
      <c r="C32" s="595"/>
      <c r="D32" s="596"/>
      <c r="E32" s="224"/>
      <c r="F32" s="228"/>
      <c r="G32" s="184"/>
      <c r="H32" s="234"/>
    </row>
    <row r="33" spans="1:8" ht="16.2">
      <c r="A33" s="224" t="s">
        <v>332</v>
      </c>
      <c r="B33" s="177" t="s">
        <v>333</v>
      </c>
      <c r="C33" s="232">
        <f>IF((G31-C31)&gt;0,G31-C31,0)</f>
        <v>6665</v>
      </c>
      <c r="D33" s="235">
        <f>IF((H31-D31)&gt;0,H31-D31,0)</f>
        <v>3398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4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6.2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8" thickBot="1">
      <c r="A36" s="249" t="s">
        <v>344</v>
      </c>
      <c r="B36" s="247" t="s">
        <v>345</v>
      </c>
      <c r="C36" s="605">
        <f>C31-C34+C35</f>
        <v>74338</v>
      </c>
      <c r="D36" s="606">
        <f>D31-D34+D35</f>
        <v>73849</v>
      </c>
      <c r="E36" s="253" t="s">
        <v>346</v>
      </c>
      <c r="F36" s="247" t="s">
        <v>347</v>
      </c>
      <c r="G36" s="258">
        <f>G35-G34+G31</f>
        <v>81003</v>
      </c>
      <c r="H36" s="259">
        <f>H35-H34+H31</f>
        <v>77247</v>
      </c>
    </row>
    <row r="37" spans="1:8" ht="16.2">
      <c r="A37" s="252" t="s">
        <v>348</v>
      </c>
      <c r="B37" s="222" t="s">
        <v>349</v>
      </c>
      <c r="C37" s="603">
        <f>IF((G36-C36)&gt;0,G36-C36,0)</f>
        <v>6665</v>
      </c>
      <c r="D37" s="604">
        <f>IF((H36-D36)&gt;0,H36-D36,0)</f>
        <v>3398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6.2">
      <c r="A38" s="225" t="s">
        <v>352</v>
      </c>
      <c r="B38" s="229" t="s">
        <v>353</v>
      </c>
      <c r="C38" s="597">
        <f>C39+C40+C41</f>
        <v>793</v>
      </c>
      <c r="D38" s="598">
        <f>D39+D40+D41</f>
        <v>391</v>
      </c>
      <c r="E38" s="237"/>
      <c r="F38" s="180"/>
      <c r="G38" s="184"/>
      <c r="H38" s="234"/>
    </row>
    <row r="39" spans="1:8" ht="31.2">
      <c r="A39" s="185" t="s">
        <v>354</v>
      </c>
      <c r="B39" s="228" t="s">
        <v>355</v>
      </c>
      <c r="C39" s="307">
        <v>793</v>
      </c>
      <c r="D39" s="308">
        <v>391</v>
      </c>
      <c r="E39" s="237"/>
      <c r="F39" s="180"/>
      <c r="G39" s="184"/>
      <c r="H39" s="234"/>
    </row>
    <row r="40" spans="1:8" ht="31.2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5872</v>
      </c>
      <c r="D42" s="235">
        <f>+IF((H36-D36-D38)&gt;0,H36-D36-D38,0)</f>
        <v>3007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2" thickBot="1">
      <c r="A44" s="253" t="s">
        <v>367</v>
      </c>
      <c r="B44" s="240" t="s">
        <v>368</v>
      </c>
      <c r="C44" s="258">
        <f>IF(G42=0,IF(C42-C43&gt;0,C42-C43+G43,0),IF(G42-G43&lt;0,G43-G42+C42,0))</f>
        <v>5872</v>
      </c>
      <c r="D44" s="259">
        <f>IF(H42=0,IF(D42-D43&gt;0,D42-D43+H43,0),IF(H42-H43&lt;0,H43-H42+D42,0))</f>
        <v>3007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2" thickBot="1">
      <c r="A45" s="261" t="s">
        <v>371</v>
      </c>
      <c r="B45" s="262" t="s">
        <v>372</v>
      </c>
      <c r="C45" s="599">
        <f>C36+C38+C42</f>
        <v>81003</v>
      </c>
      <c r="D45" s="600">
        <f>D36+D38+D42</f>
        <v>77247</v>
      </c>
      <c r="E45" s="261" t="s">
        <v>373</v>
      </c>
      <c r="F45" s="263" t="s">
        <v>374</v>
      </c>
      <c r="G45" s="599">
        <f>G42+G36</f>
        <v>81003</v>
      </c>
      <c r="H45" s="600">
        <f>H42+H36</f>
        <v>77247</v>
      </c>
    </row>
    <row r="46" spans="1:8">
      <c r="A46" s="31"/>
      <c r="B46" s="534"/>
      <c r="C46" s="535"/>
      <c r="D46" s="535"/>
      <c r="E46" s="536"/>
      <c r="F46" s="31"/>
      <c r="G46" s="535"/>
      <c r="H46" s="535"/>
    </row>
    <row r="47" spans="1:8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>
      <c r="A48" s="31"/>
      <c r="B48" s="534"/>
      <c r="C48" s="535"/>
      <c r="D48" s="535"/>
      <c r="E48" s="536"/>
      <c r="F48" s="31"/>
      <c r="G48" s="535"/>
      <c r="H48" s="535"/>
    </row>
    <row r="49" spans="1:13">
      <c r="A49" s="31"/>
      <c r="B49" s="31"/>
      <c r="C49" s="535"/>
      <c r="D49" s="535"/>
      <c r="E49" s="31"/>
      <c r="F49" s="31"/>
      <c r="G49" s="537"/>
      <c r="H49" s="537"/>
    </row>
    <row r="50" spans="1:13" s="41" customFormat="1">
      <c r="A50" s="661" t="s">
        <v>950</v>
      </c>
      <c r="B50" s="669">
        <f>pdeReportingDate</f>
        <v>43308</v>
      </c>
      <c r="C50" s="669"/>
      <c r="D50" s="669"/>
      <c r="E50" s="669"/>
      <c r="F50" s="669"/>
      <c r="G50" s="669"/>
      <c r="H50" s="669"/>
      <c r="M50" s="92"/>
    </row>
    <row r="51" spans="1:13" s="41" customFormat="1">
      <c r="A51" s="661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13" s="41" customFormat="1">
      <c r="A53" s="662"/>
      <c r="B53" s="75"/>
      <c r="C53" s="75"/>
      <c r="D53" s="75"/>
      <c r="E53" s="75"/>
      <c r="F53" s="75"/>
      <c r="G53" s="75"/>
      <c r="H53" s="75"/>
    </row>
    <row r="54" spans="1:13" s="41" customFormat="1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13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13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13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13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13">
      <c r="A59" s="663"/>
      <c r="B59" s="668"/>
      <c r="C59" s="668"/>
      <c r="D59" s="668"/>
      <c r="E59" s="668"/>
      <c r="F59" s="543"/>
      <c r="G59" s="44"/>
      <c r="H59" s="41"/>
    </row>
    <row r="60" spans="1:13">
      <c r="A60" s="663"/>
      <c r="B60" s="668"/>
      <c r="C60" s="668"/>
      <c r="D60" s="668"/>
      <c r="E60" s="668"/>
      <c r="F60" s="543"/>
      <c r="G60" s="44"/>
      <c r="H60" s="41"/>
    </row>
    <row r="61" spans="1:13">
      <c r="A61" s="663"/>
      <c r="B61" s="668"/>
      <c r="C61" s="668"/>
      <c r="D61" s="668"/>
      <c r="E61" s="668"/>
      <c r="F61" s="543"/>
      <c r="G61" s="44"/>
      <c r="H61" s="41"/>
    </row>
    <row r="62" spans="1:13">
      <c r="A62" s="31"/>
      <c r="B62" s="31"/>
      <c r="C62" s="535"/>
      <c r="D62" s="535"/>
      <c r="E62" s="31"/>
      <c r="F62" s="31"/>
      <c r="G62" s="537"/>
      <c r="H62" s="537"/>
    </row>
    <row r="63" spans="1:13">
      <c r="A63" s="31"/>
      <c r="B63" s="31"/>
      <c r="C63" s="535"/>
      <c r="D63" s="535"/>
      <c r="E63" s="31"/>
      <c r="F63" s="31"/>
      <c r="G63" s="537"/>
      <c r="H63" s="537"/>
    </row>
    <row r="64" spans="1:13">
      <c r="A64" s="31"/>
      <c r="B64" s="31"/>
      <c r="C64" s="535"/>
      <c r="D64" s="535"/>
      <c r="E64" s="31"/>
      <c r="F64" s="31"/>
      <c r="G64" s="537"/>
      <c r="H64" s="537"/>
    </row>
    <row r="65" spans="1:8">
      <c r="A65" s="31"/>
      <c r="B65" s="31"/>
      <c r="C65" s="535"/>
      <c r="D65" s="535"/>
      <c r="E65" s="31"/>
      <c r="F65" s="31"/>
      <c r="G65" s="537"/>
      <c r="H65" s="537"/>
    </row>
    <row r="66" spans="1:8">
      <c r="A66" s="31"/>
      <c r="B66" s="31"/>
      <c r="C66" s="535"/>
      <c r="D66" s="535"/>
      <c r="E66" s="31"/>
      <c r="F66" s="31"/>
      <c r="G66" s="537"/>
      <c r="H66" s="537"/>
    </row>
    <row r="67" spans="1:8">
      <c r="A67" s="31"/>
      <c r="B67" s="31"/>
      <c r="C67" s="535"/>
      <c r="D67" s="535"/>
      <c r="E67" s="31"/>
      <c r="F67" s="31"/>
      <c r="G67" s="537"/>
      <c r="H67" s="537"/>
    </row>
    <row r="68" spans="1:8">
      <c r="A68" s="31"/>
      <c r="B68" s="31"/>
      <c r="C68" s="535"/>
      <c r="D68" s="535"/>
      <c r="E68" s="31"/>
      <c r="F68" s="31"/>
      <c r="G68" s="537"/>
      <c r="H68" s="537"/>
    </row>
    <row r="69" spans="1:8">
      <c r="A69" s="31"/>
      <c r="B69" s="31"/>
      <c r="C69" s="535"/>
      <c r="D69" s="535"/>
      <c r="E69" s="31"/>
      <c r="F69" s="31"/>
      <c r="G69" s="537"/>
      <c r="H69" s="537"/>
    </row>
    <row r="70" spans="1:8">
      <c r="A70" s="31"/>
      <c r="B70" s="31"/>
      <c r="C70" s="535"/>
      <c r="D70" s="535"/>
      <c r="E70" s="31"/>
      <c r="F70" s="31"/>
      <c r="G70" s="537"/>
      <c r="H70" s="537"/>
    </row>
    <row r="71" spans="1:8">
      <c r="A71" s="31"/>
      <c r="B71" s="31"/>
      <c r="C71" s="535"/>
      <c r="D71" s="535"/>
      <c r="E71" s="31"/>
      <c r="F71" s="31"/>
      <c r="G71" s="537"/>
      <c r="H71" s="537"/>
    </row>
    <row r="72" spans="1:8">
      <c r="A72" s="31"/>
      <c r="B72" s="31"/>
      <c r="C72" s="535"/>
      <c r="D72" s="535"/>
      <c r="E72" s="31"/>
      <c r="F72" s="31"/>
      <c r="G72" s="537"/>
      <c r="H72" s="537"/>
    </row>
    <row r="73" spans="1:8">
      <c r="A73" s="31"/>
      <c r="B73" s="31"/>
      <c r="C73" s="535"/>
      <c r="D73" s="535"/>
      <c r="E73" s="31"/>
      <c r="F73" s="31"/>
      <c r="G73" s="537"/>
      <c r="H73" s="537"/>
    </row>
    <row r="74" spans="1:8">
      <c r="A74" s="31"/>
      <c r="B74" s="31"/>
      <c r="C74" s="535"/>
      <c r="D74" s="535"/>
      <c r="E74" s="31"/>
      <c r="F74" s="31"/>
      <c r="G74" s="537"/>
      <c r="H74" s="537"/>
    </row>
    <row r="75" spans="1:8">
      <c r="A75" s="31"/>
      <c r="B75" s="31"/>
      <c r="C75" s="535"/>
      <c r="D75" s="535"/>
      <c r="E75" s="31"/>
      <c r="F75" s="31"/>
      <c r="G75" s="537"/>
      <c r="H75" s="537"/>
    </row>
    <row r="76" spans="1:8">
      <c r="A76" s="31"/>
      <c r="B76" s="31"/>
      <c r="C76" s="535"/>
      <c r="D76" s="535"/>
      <c r="E76" s="31"/>
      <c r="F76" s="31"/>
      <c r="G76" s="537"/>
      <c r="H76" s="537"/>
    </row>
    <row r="77" spans="1:8">
      <c r="A77" s="31"/>
      <c r="B77" s="31"/>
      <c r="C77" s="535"/>
      <c r="D77" s="535"/>
      <c r="E77" s="31"/>
      <c r="F77" s="31"/>
      <c r="G77" s="537"/>
      <c r="H77" s="537"/>
    </row>
    <row r="78" spans="1:8">
      <c r="A78" s="31"/>
      <c r="B78" s="31"/>
      <c r="C78" s="535"/>
      <c r="D78" s="535"/>
      <c r="E78" s="31"/>
      <c r="F78" s="31"/>
      <c r="G78" s="537"/>
      <c r="H78" s="537"/>
    </row>
    <row r="79" spans="1:8">
      <c r="A79" s="31"/>
      <c r="B79" s="31"/>
      <c r="C79" s="535"/>
      <c r="D79" s="535"/>
      <c r="E79" s="31"/>
      <c r="F79" s="31"/>
      <c r="G79" s="537"/>
      <c r="H79" s="537"/>
    </row>
    <row r="80" spans="1:8">
      <c r="A80" s="31"/>
      <c r="B80" s="31"/>
      <c r="C80" s="535"/>
      <c r="D80" s="535"/>
      <c r="E80" s="31"/>
      <c r="F80" s="31"/>
      <c r="G80" s="537"/>
      <c r="H80" s="537"/>
    </row>
    <row r="81" spans="1:8">
      <c r="A81" s="31"/>
      <c r="B81" s="31"/>
      <c r="C81" s="535"/>
      <c r="D81" s="535"/>
      <c r="E81" s="31"/>
      <c r="F81" s="31"/>
      <c r="G81" s="537"/>
      <c r="H81" s="537"/>
    </row>
    <row r="82" spans="1:8">
      <c r="A82" s="31"/>
      <c r="B82" s="31"/>
      <c r="C82" s="535"/>
      <c r="D82" s="535"/>
      <c r="E82" s="31"/>
      <c r="F82" s="31"/>
      <c r="G82" s="537"/>
      <c r="H82" s="537"/>
    </row>
    <row r="83" spans="1:8">
      <c r="A83" s="31"/>
      <c r="B83" s="31"/>
      <c r="C83" s="535"/>
      <c r="D83" s="535"/>
      <c r="E83" s="31"/>
      <c r="F83" s="31"/>
      <c r="G83" s="537"/>
      <c r="H83" s="537"/>
    </row>
    <row r="84" spans="1:8">
      <c r="A84" s="31"/>
      <c r="B84" s="31"/>
      <c r="C84" s="535"/>
      <c r="D84" s="535"/>
      <c r="E84" s="31"/>
      <c r="F84" s="31"/>
      <c r="G84" s="537"/>
      <c r="H84" s="537"/>
    </row>
    <row r="85" spans="1:8">
      <c r="A85" s="31"/>
      <c r="B85" s="31"/>
      <c r="C85" s="535"/>
      <c r="D85" s="535"/>
      <c r="E85" s="31"/>
      <c r="F85" s="31"/>
      <c r="G85" s="537"/>
      <c r="H85" s="537"/>
    </row>
    <row r="86" spans="1:8">
      <c r="A86" s="31"/>
      <c r="B86" s="31"/>
      <c r="C86" s="535"/>
      <c r="D86" s="535"/>
      <c r="E86" s="31"/>
      <c r="F86" s="31"/>
      <c r="G86" s="537"/>
      <c r="H86" s="537"/>
    </row>
    <row r="87" spans="1:8">
      <c r="A87" s="31"/>
      <c r="B87" s="31"/>
      <c r="C87" s="535"/>
      <c r="D87" s="535"/>
      <c r="E87" s="31"/>
      <c r="F87" s="31"/>
      <c r="G87" s="537"/>
      <c r="H87" s="537"/>
    </row>
    <row r="88" spans="1:8">
      <c r="A88" s="31"/>
      <c r="B88" s="31"/>
      <c r="C88" s="535"/>
      <c r="D88" s="535"/>
      <c r="E88" s="31"/>
      <c r="F88" s="31"/>
      <c r="G88" s="537"/>
      <c r="H88" s="537"/>
    </row>
    <row r="89" spans="1:8">
      <c r="A89" s="31"/>
      <c r="B89" s="31"/>
      <c r="C89" s="535"/>
      <c r="D89" s="535"/>
      <c r="E89" s="31"/>
      <c r="F89" s="31"/>
      <c r="G89" s="537"/>
      <c r="H89" s="537"/>
    </row>
    <row r="90" spans="1:8">
      <c r="A90" s="31"/>
      <c r="B90" s="31"/>
      <c r="C90" s="535"/>
      <c r="D90" s="535"/>
      <c r="E90" s="31"/>
      <c r="F90" s="31"/>
      <c r="G90" s="537"/>
      <c r="H90" s="537"/>
    </row>
    <row r="91" spans="1:8">
      <c r="A91" s="31"/>
      <c r="B91" s="31"/>
      <c r="C91" s="535"/>
      <c r="D91" s="535"/>
      <c r="E91" s="31"/>
      <c r="F91" s="31"/>
      <c r="G91" s="537"/>
      <c r="H91" s="537"/>
    </row>
    <row r="92" spans="1:8">
      <c r="A92" s="31"/>
      <c r="B92" s="31"/>
      <c r="C92" s="535"/>
      <c r="D92" s="535"/>
      <c r="E92" s="31"/>
      <c r="F92" s="31"/>
      <c r="G92" s="537"/>
      <c r="H92" s="537"/>
    </row>
    <row r="93" spans="1:8">
      <c r="A93" s="31"/>
      <c r="B93" s="31"/>
      <c r="C93" s="535"/>
      <c r="D93" s="535"/>
      <c r="E93" s="31"/>
      <c r="F93" s="31"/>
      <c r="G93" s="537"/>
      <c r="H93" s="537"/>
    </row>
    <row r="94" spans="1:8">
      <c r="A94" s="31"/>
      <c r="B94" s="31"/>
      <c r="C94" s="535"/>
      <c r="D94" s="535"/>
      <c r="E94" s="31"/>
      <c r="F94" s="31"/>
      <c r="G94" s="537"/>
      <c r="H94" s="537"/>
    </row>
    <row r="95" spans="1:8">
      <c r="A95" s="31"/>
      <c r="B95" s="31"/>
      <c r="C95" s="535"/>
      <c r="D95" s="535"/>
      <c r="E95" s="31"/>
      <c r="F95" s="31"/>
      <c r="G95" s="537"/>
      <c r="H95" s="537"/>
    </row>
    <row r="96" spans="1:8">
      <c r="A96" s="31"/>
      <c r="B96" s="31"/>
      <c r="C96" s="535"/>
      <c r="D96" s="535"/>
      <c r="E96" s="31"/>
      <c r="F96" s="31"/>
      <c r="G96" s="537"/>
      <c r="H96" s="537"/>
    </row>
    <row r="97" spans="1:8">
      <c r="A97" s="31"/>
      <c r="B97" s="31"/>
      <c r="C97" s="535"/>
      <c r="D97" s="535"/>
      <c r="E97" s="31"/>
      <c r="F97" s="31"/>
      <c r="G97" s="537"/>
      <c r="H97" s="537"/>
    </row>
    <row r="98" spans="1:8">
      <c r="A98" s="31"/>
      <c r="B98" s="31"/>
      <c r="C98" s="535"/>
      <c r="D98" s="535"/>
      <c r="E98" s="31"/>
      <c r="F98" s="31"/>
      <c r="G98" s="537"/>
      <c r="H98" s="537"/>
    </row>
    <row r="99" spans="1:8">
      <c r="A99" s="31"/>
      <c r="B99" s="31"/>
      <c r="C99" s="535"/>
      <c r="D99" s="535"/>
      <c r="E99" s="31"/>
      <c r="F99" s="31"/>
      <c r="G99" s="537"/>
      <c r="H99" s="537"/>
    </row>
    <row r="100" spans="1:8">
      <c r="A100" s="31"/>
      <c r="B100" s="31"/>
      <c r="C100" s="535"/>
      <c r="D100" s="535"/>
      <c r="E100" s="31"/>
      <c r="F100" s="31"/>
      <c r="G100" s="537"/>
      <c r="H100" s="537"/>
    </row>
    <row r="101" spans="1:8">
      <c r="A101" s="31"/>
      <c r="B101" s="31"/>
      <c r="C101" s="535"/>
      <c r="D101" s="535"/>
      <c r="E101" s="31"/>
      <c r="F101" s="31"/>
      <c r="G101" s="537"/>
      <c r="H101" s="537"/>
    </row>
    <row r="102" spans="1:8">
      <c r="A102" s="31"/>
      <c r="B102" s="31"/>
      <c r="C102" s="535"/>
      <c r="D102" s="535"/>
      <c r="E102" s="31"/>
      <c r="F102" s="31"/>
      <c r="G102" s="537"/>
      <c r="H102" s="537"/>
    </row>
    <row r="103" spans="1:8">
      <c r="A103" s="31"/>
      <c r="B103" s="31"/>
      <c r="C103" s="535"/>
      <c r="D103" s="535"/>
      <c r="E103" s="31"/>
      <c r="F103" s="31"/>
      <c r="G103" s="537"/>
      <c r="H103" s="537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abSelected="1" zoomScaleNormal="100" zoomScaleSheetLayoutView="80" workbookViewId="0">
      <selection activeCell="D44" sqref="D44"/>
    </sheetView>
  </sheetViews>
  <sheetFormatPr defaultColWidth="9.33203125" defaultRowHeight="15.6"/>
  <cols>
    <col min="1" max="1" width="69.88671875" style="162" customWidth="1"/>
    <col min="2" max="2" width="11.88671875" style="162" bestFit="1" customWidth="1"/>
    <col min="3" max="4" width="22.6640625" style="175" customWidth="1"/>
    <col min="5" max="5" width="10.109375" style="162" customWidth="1"/>
    <col min="6" max="6" width="12" style="162" customWidth="1"/>
    <col min="7" max="7" width="12.10937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"СПИДИ" АД</v>
      </c>
      <c r="B4" s="480"/>
      <c r="C4" s="50"/>
      <c r="D4" s="73"/>
      <c r="E4" s="14"/>
    </row>
    <row r="5" spans="1:13">
      <c r="A5" s="70" t="str">
        <f>CONCATENATE("ЕИК по БУЛСТАТ: ", pdeBulstat)</f>
        <v>ЕИК по БУЛСТАТ: 131371780</v>
      </c>
      <c r="B5" s="481"/>
      <c r="C5" s="74"/>
      <c r="D5" s="75"/>
      <c r="E5" s="161"/>
    </row>
    <row r="6" spans="1:13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13" ht="16.2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2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6.2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93028</v>
      </c>
      <c r="D11" s="188">
        <v>89748</v>
      </c>
      <c r="E11" s="168"/>
      <c r="F11" s="168"/>
    </row>
    <row r="12" spans="1:13">
      <c r="A12" s="268" t="s">
        <v>380</v>
      </c>
      <c r="B12" s="169" t="s">
        <v>381</v>
      </c>
      <c r="C12" s="188">
        <v>-63440</v>
      </c>
      <c r="D12" s="188">
        <v>-64763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2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-16375</v>
      </c>
      <c r="D14" s="188">
        <v>-14223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-5217</v>
      </c>
      <c r="D15" s="188">
        <v>-5159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>
        <v>-697</v>
      </c>
      <c r="D16" s="188">
        <v>-383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2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-35</v>
      </c>
      <c r="D19" s="188">
        <v>-77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-2480</v>
      </c>
      <c r="D20" s="188">
        <v>1748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2" thickBot="1">
      <c r="A21" s="283" t="s">
        <v>398</v>
      </c>
      <c r="B21" s="284" t="s">
        <v>399</v>
      </c>
      <c r="C21" s="627">
        <f>SUM(C11:C20)</f>
        <v>4784</v>
      </c>
      <c r="D21" s="628">
        <f>SUM(D11:D20)</f>
        <v>6891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6.2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-1276</v>
      </c>
      <c r="D23" s="188">
        <v>-2839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>
        <v>207</v>
      </c>
      <c r="D24" s="188">
        <v>41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>
        <v>298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2" thickBot="1">
      <c r="A33" s="283" t="s">
        <v>420</v>
      </c>
      <c r="B33" s="284" t="s">
        <v>421</v>
      </c>
      <c r="C33" s="627">
        <f>SUM(C23:C32)</f>
        <v>-771</v>
      </c>
      <c r="D33" s="628">
        <f>SUM(D23:D32)</f>
        <v>-2798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6.2">
      <c r="A34" s="277" t="s">
        <v>422</v>
      </c>
      <c r="B34" s="278"/>
      <c r="C34" s="625"/>
      <c r="D34" s="626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/>
      <c r="E37" s="168"/>
      <c r="F37" s="168"/>
    </row>
    <row r="38" spans="1:13">
      <c r="A38" s="268" t="s">
        <v>429</v>
      </c>
      <c r="B38" s="169" t="s">
        <v>430</v>
      </c>
      <c r="C38" s="188">
        <v>-1522</v>
      </c>
      <c r="D38" s="188">
        <v>-1059</v>
      </c>
      <c r="E38" s="168"/>
      <c r="F38" s="168"/>
    </row>
    <row r="39" spans="1:13">
      <c r="A39" s="268" t="s">
        <v>431</v>
      </c>
      <c r="B39" s="169" t="s">
        <v>432</v>
      </c>
      <c r="C39" s="188">
        <v>-3464</v>
      </c>
      <c r="D39" s="188">
        <v>-2896</v>
      </c>
      <c r="E39" s="168"/>
      <c r="F39" s="168"/>
    </row>
    <row r="40" spans="1:13" ht="31.2">
      <c r="A40" s="268" t="s">
        <v>433</v>
      </c>
      <c r="B40" s="169" t="s">
        <v>434</v>
      </c>
      <c r="C40" s="188">
        <f>-203-61</f>
        <v>-264</v>
      </c>
      <c r="D40" s="188">
        <v>-268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2" thickBot="1">
      <c r="A43" s="286" t="s">
        <v>439</v>
      </c>
      <c r="B43" s="287" t="s">
        <v>440</v>
      </c>
      <c r="C43" s="629">
        <f>SUM(C35:C42)</f>
        <v>-5250</v>
      </c>
      <c r="D43" s="630">
        <f>SUM(D35:D42)</f>
        <v>-4223</v>
      </c>
      <c r="E43" s="168"/>
      <c r="F43" s="168"/>
      <c r="G43" s="171"/>
      <c r="H43" s="171"/>
    </row>
    <row r="44" spans="1:13" ht="16.2" thickBot="1">
      <c r="A44" s="290" t="s">
        <v>441</v>
      </c>
      <c r="B44" s="291" t="s">
        <v>442</v>
      </c>
      <c r="C44" s="297">
        <f>C43+C33+C21</f>
        <v>-1237</v>
      </c>
      <c r="D44" s="298">
        <f>D43+D33+D21</f>
        <v>-130</v>
      </c>
      <c r="E44" s="168"/>
      <c r="F44" s="168"/>
      <c r="G44" s="171"/>
      <c r="H44" s="171"/>
    </row>
    <row r="45" spans="1:13" ht="16.8" thickBot="1">
      <c r="A45" s="292" t="s">
        <v>443</v>
      </c>
      <c r="B45" s="293" t="s">
        <v>444</v>
      </c>
      <c r="C45" s="299">
        <v>12663</v>
      </c>
      <c r="D45" s="300">
        <v>11070</v>
      </c>
      <c r="E45" s="168"/>
      <c r="F45" s="168"/>
      <c r="G45" s="171"/>
      <c r="H45" s="171"/>
    </row>
    <row r="46" spans="1:13" ht="16.8" thickBot="1">
      <c r="A46" s="295" t="s">
        <v>445</v>
      </c>
      <c r="B46" s="296" t="s">
        <v>446</v>
      </c>
      <c r="C46" s="301">
        <f>C45+C44</f>
        <v>11426</v>
      </c>
      <c r="D46" s="302">
        <f>D45+D44</f>
        <v>10940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13" ht="16.2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9" t="s">
        <v>941</v>
      </c>
      <c r="G50" s="171"/>
      <c r="H50" s="171"/>
    </row>
    <row r="51" spans="1:13">
      <c r="A51" s="673" t="s">
        <v>947</v>
      </c>
      <c r="B51" s="673"/>
      <c r="C51" s="673"/>
      <c r="D51" s="673"/>
      <c r="G51" s="171"/>
      <c r="H51" s="171"/>
    </row>
    <row r="52" spans="1:13">
      <c r="A52" s="660"/>
      <c r="B52" s="660"/>
      <c r="C52" s="660"/>
      <c r="D52" s="660"/>
      <c r="G52" s="171"/>
      <c r="H52" s="171"/>
    </row>
    <row r="53" spans="1:13">
      <c r="A53" s="660"/>
      <c r="B53" s="660"/>
      <c r="C53" s="660"/>
      <c r="D53" s="660"/>
      <c r="G53" s="171"/>
      <c r="H53" s="171"/>
    </row>
    <row r="54" spans="1:13" s="41" customFormat="1">
      <c r="A54" s="661" t="s">
        <v>950</v>
      </c>
      <c r="B54" s="669">
        <f>pdeReportingDate</f>
        <v>43308</v>
      </c>
      <c r="C54" s="669"/>
      <c r="D54" s="669"/>
      <c r="E54" s="669"/>
      <c r="F54" s="664"/>
      <c r="G54" s="664"/>
      <c r="H54" s="664"/>
      <c r="M54" s="92"/>
    </row>
    <row r="55" spans="1:13" s="41" customFormat="1">
      <c r="A55" s="661"/>
      <c r="B55" s="669"/>
      <c r="C55" s="669"/>
      <c r="D55" s="669"/>
      <c r="E55" s="669"/>
      <c r="F55" s="51"/>
      <c r="G55" s="51"/>
      <c r="H55" s="51"/>
      <c r="M55" s="92"/>
    </row>
    <row r="56" spans="1:13" s="41" customFormat="1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13" s="41" customFormat="1">
      <c r="A57" s="662"/>
      <c r="B57" s="670"/>
      <c r="C57" s="670"/>
      <c r="D57" s="670"/>
      <c r="E57" s="670"/>
      <c r="F57" s="75"/>
      <c r="G57" s="75"/>
      <c r="H57" s="75"/>
    </row>
    <row r="58" spans="1:13" s="41" customFormat="1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13" s="182" customFormat="1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13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13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13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13">
      <c r="A63" s="663"/>
      <c r="B63" s="668"/>
      <c r="C63" s="668"/>
      <c r="D63" s="668"/>
      <c r="E63" s="668"/>
      <c r="F63" s="543"/>
      <c r="G63" s="44"/>
      <c r="H63" s="41"/>
    </row>
    <row r="64" spans="1:13">
      <c r="A64" s="663"/>
      <c r="B64" s="668"/>
      <c r="C64" s="668"/>
      <c r="D64" s="668"/>
      <c r="E64" s="668"/>
      <c r="F64" s="543"/>
      <c r="G64" s="44"/>
      <c r="H64" s="41"/>
    </row>
    <row r="65" spans="1:8">
      <c r="A65" s="663"/>
      <c r="B65" s="668"/>
      <c r="C65" s="668"/>
      <c r="D65" s="668"/>
      <c r="E65" s="668"/>
      <c r="F65" s="543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topLeftCell="A19" zoomScale="80" zoomScaleNormal="100" zoomScaleSheetLayoutView="80" workbookViewId="0">
      <selection activeCell="I21" sqref="I21"/>
    </sheetView>
  </sheetViews>
  <sheetFormatPr defaultColWidth="9.33203125" defaultRowHeight="15.6"/>
  <cols>
    <col min="1" max="1" width="50.6640625" style="531" customWidth="1"/>
    <col min="2" max="2" width="10.6640625" style="532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09375" style="158" customWidth="1"/>
    <col min="12" max="12" width="14.6640625" style="158" customWidth="1"/>
    <col min="13" max="13" width="16.8867187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4">
      <c r="A5" s="70" t="str">
        <f>CONCATENATE("ЕИК по БУЛСТАТ: ", 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4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4" ht="16.2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2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2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2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2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-762</v>
      </c>
      <c r="I13" s="553">
        <f>'1-Баланс'!H29+'1-Баланс'!H32</f>
        <v>20796</v>
      </c>
      <c r="J13" s="553">
        <f>'1-Баланс'!H30+'1-Баланс'!H33</f>
        <v>0</v>
      </c>
      <c r="K13" s="554"/>
      <c r="L13" s="553">
        <f>SUM(C13:K13)</f>
        <v>45515</v>
      </c>
      <c r="M13" s="555">
        <f>'1-Баланс'!H40</f>
        <v>0</v>
      </c>
      <c r="N13" s="157"/>
    </row>
    <row r="14" spans="1:14">
      <c r="A14" s="516" t="s">
        <v>469</v>
      </c>
      <c r="B14" s="51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t="shared" ref="L14:L34" si="1">SUM(C14:K14)</f>
        <v>0</v>
      </c>
      <c r="M14" s="306">
        <f t="shared" si="0"/>
        <v>0</v>
      </c>
      <c r="N14" s="160"/>
    </row>
    <row r="15" spans="1:14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2">
      <c r="A17" s="516" t="s">
        <v>475</v>
      </c>
      <c r="B17" s="517" t="s">
        <v>476</v>
      </c>
      <c r="C17" s="622">
        <f>C13+C14</f>
        <v>5378</v>
      </c>
      <c r="D17" s="622">
        <f t="shared" ref="D17:M17" si="2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-762</v>
      </c>
      <c r="I17" s="622">
        <f t="shared" si="2"/>
        <v>20796</v>
      </c>
      <c r="J17" s="622">
        <f t="shared" si="2"/>
        <v>0</v>
      </c>
      <c r="K17" s="622">
        <f t="shared" si="2"/>
        <v>0</v>
      </c>
      <c r="L17" s="553">
        <f t="shared" si="1"/>
        <v>45515</v>
      </c>
      <c r="M17" s="623">
        <f t="shared" si="2"/>
        <v>0</v>
      </c>
      <c r="N17" s="160"/>
    </row>
    <row r="18" spans="1:14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5872</v>
      </c>
      <c r="J18" s="553">
        <f>+'1-Баланс'!G33</f>
        <v>0</v>
      </c>
      <c r="K18" s="554"/>
      <c r="L18" s="553">
        <f t="shared" si="1"/>
        <v>5872</v>
      </c>
      <c r="M18" s="607"/>
      <c r="N18" s="160"/>
    </row>
    <row r="19" spans="1:14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-6453</v>
      </c>
      <c r="J19" s="159">
        <f>J20+J21</f>
        <v>0</v>
      </c>
      <c r="K19" s="159">
        <f t="shared" si="3"/>
        <v>0</v>
      </c>
      <c r="L19" s="553">
        <f t="shared" si="1"/>
        <v>-6453</v>
      </c>
      <c r="M19" s="306">
        <f>M20+M21</f>
        <v>0</v>
      </c>
      <c r="N19" s="160"/>
    </row>
    <row r="20" spans="1:14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-6453</v>
      </c>
      <c r="J20" s="307"/>
      <c r="K20" s="307"/>
      <c r="L20" s="553">
        <f>SUM(C20:K20)</f>
        <v>-6453</v>
      </c>
      <c r="M20" s="308"/>
      <c r="N20" s="160"/>
    </row>
    <row r="21" spans="1:14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2">
      <c r="A23" s="518" t="s">
        <v>487</v>
      </c>
      <c r="B23" s="51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2">
      <c r="A26" s="518" t="s">
        <v>493</v>
      </c>
      <c r="B26" s="51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6</v>
      </c>
      <c r="I30" s="307"/>
      <c r="J30" s="307"/>
      <c r="K30" s="307"/>
      <c r="L30" s="553">
        <f t="shared" si="1"/>
        <v>6</v>
      </c>
      <c r="M30" s="308"/>
      <c r="N30" s="160"/>
    </row>
    <row r="31" spans="1:14">
      <c r="A31" s="516" t="s">
        <v>501</v>
      </c>
      <c r="B31" s="517" t="s">
        <v>502</v>
      </c>
      <c r="C31" s="622">
        <f>C19+C22+C23+C26+C30+C29+C17+C18</f>
        <v>5378</v>
      </c>
      <c r="D31" s="622">
        <f t="shared" ref="D31:M31" si="6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-756</v>
      </c>
      <c r="I31" s="622">
        <f t="shared" si="6"/>
        <v>20215</v>
      </c>
      <c r="J31" s="622">
        <f t="shared" si="6"/>
        <v>0</v>
      </c>
      <c r="K31" s="622">
        <f t="shared" si="6"/>
        <v>0</v>
      </c>
      <c r="L31" s="553">
        <f t="shared" si="1"/>
        <v>44940</v>
      </c>
      <c r="M31" s="623">
        <f t="shared" si="6"/>
        <v>0</v>
      </c>
      <c r="N31" s="157"/>
    </row>
    <row r="32" spans="1:14" ht="31.2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8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8" thickBot="1">
      <c r="A34" s="524" t="s">
        <v>507</v>
      </c>
      <c r="B34" s="525" t="s">
        <v>508</v>
      </c>
      <c r="C34" s="556">
        <f t="shared" ref="C34:K34" si="7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-756</v>
      </c>
      <c r="I34" s="556">
        <f t="shared" si="7"/>
        <v>20215</v>
      </c>
      <c r="J34" s="556">
        <f t="shared" si="7"/>
        <v>0</v>
      </c>
      <c r="K34" s="556">
        <f t="shared" si="7"/>
        <v>0</v>
      </c>
      <c r="L34" s="620">
        <f t="shared" si="1"/>
        <v>44940</v>
      </c>
      <c r="M34" s="557">
        <f>M31+M32+M33</f>
        <v>0</v>
      </c>
      <c r="N34" s="160"/>
    </row>
    <row r="35" spans="1:14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4">
      <c r="A38" s="661" t="s">
        <v>950</v>
      </c>
      <c r="B38" s="669">
        <f>pdeReportingDate</f>
        <v>43308</v>
      </c>
      <c r="C38" s="669"/>
      <c r="D38" s="669"/>
      <c r="E38" s="669"/>
      <c r="F38" s="669"/>
      <c r="G38" s="669"/>
      <c r="H38" s="669"/>
      <c r="M38" s="160"/>
    </row>
    <row r="39" spans="1:14">
      <c r="A39" s="661"/>
      <c r="B39" s="51"/>
      <c r="C39" s="51"/>
      <c r="D39" s="51"/>
      <c r="E39" s="51"/>
      <c r="F39" s="51"/>
      <c r="G39" s="51"/>
      <c r="H39" s="51"/>
      <c r="M39" s="160"/>
    </row>
    <row r="40" spans="1:14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4">
      <c r="A41" s="662"/>
      <c r="B41" s="75"/>
      <c r="C41" s="75"/>
      <c r="D41" s="75"/>
      <c r="E41" s="75"/>
      <c r="F41" s="75"/>
      <c r="G41" s="75"/>
      <c r="H41" s="75"/>
      <c r="M41" s="160"/>
    </row>
    <row r="42" spans="1:14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4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4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4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4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4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4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>
      <c r="A49" s="663"/>
      <c r="B49" s="668"/>
      <c r="C49" s="668"/>
      <c r="D49" s="668"/>
      <c r="E49" s="668"/>
      <c r="F49" s="543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topLeftCell="C13" zoomScale="80" zoomScaleNormal="85" zoomScaleSheetLayoutView="80" workbookViewId="0">
      <selection activeCell="F16" sqref="F16"/>
    </sheetView>
  </sheetViews>
  <sheetFormatPr defaultColWidth="10.6640625" defaultRowHeight="15.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2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2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t="shared" ref="Q11:Q27" si="0">N11+O11-P11</f>
        <v>0</v>
      </c>
      <c r="R11" s="331">
        <f t="shared" ref="R11:R27" si="1">J11-Q11</f>
        <v>0</v>
      </c>
    </row>
    <row r="12" spans="1:18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t="shared" ref="G12:G41" si="2">D12+E12-F12</f>
        <v>0</v>
      </c>
      <c r="H12" s="319"/>
      <c r="I12" s="319"/>
      <c r="J12" s="320">
        <f t="shared" ref="J12:J41" si="3">G12+H12-I12</f>
        <v>0</v>
      </c>
      <c r="K12" s="319"/>
      <c r="L12" s="319"/>
      <c r="M12" s="319"/>
      <c r="N12" s="320">
        <f t="shared" ref="N12:N41" si="4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>
      <c r="A13" s="330" t="s">
        <v>527</v>
      </c>
      <c r="B13" s="312" t="s">
        <v>528</v>
      </c>
      <c r="C13" s="143" t="s">
        <v>529</v>
      </c>
      <c r="D13" s="319">
        <v>9573</v>
      </c>
      <c r="E13" s="319">
        <v>1905</v>
      </c>
      <c r="F13" s="319">
        <v>186</v>
      </c>
      <c r="G13" s="320">
        <f t="shared" si="2"/>
        <v>11292</v>
      </c>
      <c r="H13" s="319"/>
      <c r="I13" s="319"/>
      <c r="J13" s="320">
        <f t="shared" si="3"/>
        <v>11292</v>
      </c>
      <c r="K13" s="319">
        <v>4198</v>
      </c>
      <c r="L13" s="319">
        <v>521</v>
      </c>
      <c r="M13" s="319">
        <v>4</v>
      </c>
      <c r="N13" s="320">
        <f t="shared" si="4"/>
        <v>4715</v>
      </c>
      <c r="O13" s="319"/>
      <c r="P13" s="319"/>
      <c r="Q13" s="320">
        <f t="shared" si="0"/>
        <v>4715</v>
      </c>
      <c r="R13" s="331">
        <f t="shared" si="1"/>
        <v>6577</v>
      </c>
    </row>
    <row r="14" spans="1:18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>
      <c r="A15" s="330" t="s">
        <v>533</v>
      </c>
      <c r="B15" s="312" t="s">
        <v>534</v>
      </c>
      <c r="C15" s="143" t="s">
        <v>535</v>
      </c>
      <c r="D15" s="319">
        <v>40306</v>
      </c>
      <c r="E15" s="319">
        <v>561</v>
      </c>
      <c r="F15" s="319">
        <v>2283</v>
      </c>
      <c r="G15" s="320">
        <f t="shared" si="2"/>
        <v>38584</v>
      </c>
      <c r="H15" s="319"/>
      <c r="I15" s="319"/>
      <c r="J15" s="320">
        <f t="shared" si="3"/>
        <v>38584</v>
      </c>
      <c r="K15" s="319">
        <v>22763</v>
      </c>
      <c r="L15" s="319">
        <v>3076</v>
      </c>
      <c r="M15" s="319">
        <v>2129</v>
      </c>
      <c r="N15" s="320">
        <f t="shared" si="4"/>
        <v>23710</v>
      </c>
      <c r="O15" s="319"/>
      <c r="P15" s="319"/>
      <c r="Q15" s="320">
        <f t="shared" si="0"/>
        <v>23710</v>
      </c>
      <c r="R15" s="331">
        <f t="shared" si="1"/>
        <v>14874</v>
      </c>
    </row>
    <row r="16" spans="1:18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2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>
      <c r="A18" s="330" t="s">
        <v>541</v>
      </c>
      <c r="B18" s="146" t="s">
        <v>542</v>
      </c>
      <c r="C18" s="143" t="s">
        <v>543</v>
      </c>
      <c r="D18" s="319">
        <v>20271</v>
      </c>
      <c r="E18" s="319">
        <v>1114</v>
      </c>
      <c r="F18" s="319">
        <v>308</v>
      </c>
      <c r="G18" s="320">
        <f t="shared" si="2"/>
        <v>21077</v>
      </c>
      <c r="H18" s="319"/>
      <c r="I18" s="319"/>
      <c r="J18" s="320">
        <f t="shared" si="3"/>
        <v>21077</v>
      </c>
      <c r="K18" s="319">
        <v>9785</v>
      </c>
      <c r="L18" s="319">
        <v>1175</v>
      </c>
      <c r="M18" s="319">
        <v>88</v>
      </c>
      <c r="N18" s="320">
        <f t="shared" si="4"/>
        <v>10872</v>
      </c>
      <c r="O18" s="319"/>
      <c r="P18" s="319"/>
      <c r="Q18" s="320">
        <f t="shared" si="0"/>
        <v>10872</v>
      </c>
      <c r="R18" s="331">
        <f t="shared" si="1"/>
        <v>10205</v>
      </c>
    </row>
    <row r="19" spans="1:18" ht="16.2">
      <c r="A19" s="330"/>
      <c r="B19" s="313" t="s">
        <v>544</v>
      </c>
      <c r="C19" s="147" t="s">
        <v>545</v>
      </c>
      <c r="D19" s="321">
        <f>SUM(D11:D18)</f>
        <v>70150</v>
      </c>
      <c r="E19" s="321">
        <f>SUM(E11:E18)</f>
        <v>3580</v>
      </c>
      <c r="F19" s="321">
        <f>SUM(F11:F18)</f>
        <v>2777</v>
      </c>
      <c r="G19" s="320">
        <f t="shared" si="2"/>
        <v>70953</v>
      </c>
      <c r="H19" s="321">
        <f>SUM(H11:H18)</f>
        <v>0</v>
      </c>
      <c r="I19" s="321">
        <f>SUM(I11:I18)</f>
        <v>0</v>
      </c>
      <c r="J19" s="320">
        <f t="shared" si="3"/>
        <v>70953</v>
      </c>
      <c r="K19" s="321">
        <f>SUM(K11:K18)</f>
        <v>36746</v>
      </c>
      <c r="L19" s="321">
        <f>SUM(L11:L18)</f>
        <v>4772</v>
      </c>
      <c r="M19" s="321">
        <f>SUM(M11:M18)</f>
        <v>2221</v>
      </c>
      <c r="N19" s="320">
        <f t="shared" si="4"/>
        <v>39297</v>
      </c>
      <c r="O19" s="321">
        <f>SUM(O11:O18)</f>
        <v>0</v>
      </c>
      <c r="P19" s="321">
        <f>SUM(P11:P18)</f>
        <v>0</v>
      </c>
      <c r="Q19" s="320">
        <f t="shared" si="0"/>
        <v>39297</v>
      </c>
      <c r="R19" s="331">
        <f t="shared" si="1"/>
        <v>31656</v>
      </c>
    </row>
    <row r="20" spans="1:18" ht="16.2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6.2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>
      <c r="A24" s="330" t="s">
        <v>524</v>
      </c>
      <c r="B24" s="312" t="s">
        <v>554</v>
      </c>
      <c r="C24" s="143" t="s">
        <v>555</v>
      </c>
      <c r="D24" s="319">
        <v>9371</v>
      </c>
      <c r="E24" s="319">
        <v>268</v>
      </c>
      <c r="F24" s="319"/>
      <c r="G24" s="320">
        <f t="shared" si="2"/>
        <v>9639</v>
      </c>
      <c r="H24" s="319"/>
      <c r="I24" s="319"/>
      <c r="J24" s="320">
        <f t="shared" si="3"/>
        <v>9639</v>
      </c>
      <c r="K24" s="319">
        <v>5843</v>
      </c>
      <c r="L24" s="319">
        <v>585</v>
      </c>
      <c r="M24" s="319"/>
      <c r="N24" s="320">
        <f t="shared" si="4"/>
        <v>6428</v>
      </c>
      <c r="O24" s="319"/>
      <c r="P24" s="319"/>
      <c r="Q24" s="320">
        <f t="shared" si="0"/>
        <v>6428</v>
      </c>
      <c r="R24" s="331">
        <f t="shared" si="1"/>
        <v>3211</v>
      </c>
    </row>
    <row r="25" spans="1:18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>
      <c r="A26" s="330" t="s">
        <v>530</v>
      </c>
      <c r="B26" s="148" t="s">
        <v>542</v>
      </c>
      <c r="C26" s="143" t="s">
        <v>558</v>
      </c>
      <c r="D26" s="319">
        <v>19692</v>
      </c>
      <c r="E26" s="319"/>
      <c r="F26" s="319"/>
      <c r="G26" s="320">
        <f t="shared" si="2"/>
        <v>19692</v>
      </c>
      <c r="H26" s="319"/>
      <c r="I26" s="319"/>
      <c r="J26" s="320">
        <f t="shared" si="3"/>
        <v>19692</v>
      </c>
      <c r="K26" s="319">
        <v>1624</v>
      </c>
      <c r="L26" s="319">
        <v>274</v>
      </c>
      <c r="M26" s="319"/>
      <c r="N26" s="320">
        <f t="shared" si="4"/>
        <v>1898</v>
      </c>
      <c r="O26" s="319"/>
      <c r="P26" s="319"/>
      <c r="Q26" s="320">
        <f t="shared" si="0"/>
        <v>1898</v>
      </c>
      <c r="R26" s="331">
        <f t="shared" si="1"/>
        <v>17794</v>
      </c>
    </row>
    <row r="27" spans="1:18" ht="16.2">
      <c r="A27" s="330"/>
      <c r="B27" s="313" t="s">
        <v>559</v>
      </c>
      <c r="C27" s="149" t="s">
        <v>560</v>
      </c>
      <c r="D27" s="323">
        <f>SUM(D23:D26)</f>
        <v>29063</v>
      </c>
      <c r="E27" s="323">
        <f t="shared" ref="E27:P27" si="5">SUM(E23:E26)</f>
        <v>268</v>
      </c>
      <c r="F27" s="323">
        <f t="shared" si="5"/>
        <v>0</v>
      </c>
      <c r="G27" s="324">
        <f t="shared" si="2"/>
        <v>29331</v>
      </c>
      <c r="H27" s="323">
        <f t="shared" si="5"/>
        <v>0</v>
      </c>
      <c r="I27" s="323">
        <f t="shared" si="5"/>
        <v>0</v>
      </c>
      <c r="J27" s="324">
        <f t="shared" si="3"/>
        <v>29331</v>
      </c>
      <c r="K27" s="323">
        <f t="shared" si="5"/>
        <v>7467</v>
      </c>
      <c r="L27" s="323">
        <f t="shared" si="5"/>
        <v>859</v>
      </c>
      <c r="M27" s="323">
        <f t="shared" si="5"/>
        <v>0</v>
      </c>
      <c r="N27" s="324">
        <f t="shared" si="4"/>
        <v>8326</v>
      </c>
      <c r="O27" s="323">
        <f t="shared" si="5"/>
        <v>0</v>
      </c>
      <c r="P27" s="323">
        <f t="shared" si="5"/>
        <v>0</v>
      </c>
      <c r="Q27" s="324">
        <f t="shared" si="0"/>
        <v>8326</v>
      </c>
      <c r="R27" s="334">
        <f t="shared" si="1"/>
        <v>21005</v>
      </c>
    </row>
    <row r="28" spans="1:18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t="shared" ref="E29:P29" si="6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t="shared" ref="Q30:Q41" si="7">N30+O30-P30</f>
        <v>0</v>
      </c>
      <c r="R30" s="331">
        <f t="shared" ref="R30:R41" si="8">J30-Q30</f>
        <v>0</v>
      </c>
    </row>
    <row r="31" spans="1:18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6.2">
      <c r="A40" s="330"/>
      <c r="B40" s="313" t="s">
        <v>577</v>
      </c>
      <c r="C40" s="147" t="s">
        <v>578</v>
      </c>
      <c r="D40" s="321">
        <f>D29+D34+D39</f>
        <v>0</v>
      </c>
      <c r="E40" s="321">
        <f t="shared" ref="E40:P40" si="1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6.2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2" thickBot="1">
      <c r="A42" s="337"/>
      <c r="B42" s="338" t="s">
        <v>582</v>
      </c>
      <c r="C42" s="339" t="s">
        <v>583</v>
      </c>
      <c r="D42" s="340">
        <f>D19+D20+D21+D27+D40+D41</f>
        <v>99213</v>
      </c>
      <c r="E42" s="340">
        <f>E19+E20+E21+E27+E40+E41</f>
        <v>3848</v>
      </c>
      <c r="F42" s="340">
        <f t="shared" ref="F42:R42" si="11">F19+F20+F21+F27+F40+F41</f>
        <v>2777</v>
      </c>
      <c r="G42" s="340">
        <f t="shared" si="11"/>
        <v>100284</v>
      </c>
      <c r="H42" s="340">
        <f t="shared" si="11"/>
        <v>0</v>
      </c>
      <c r="I42" s="340">
        <f t="shared" si="11"/>
        <v>0</v>
      </c>
      <c r="J42" s="340">
        <f t="shared" si="11"/>
        <v>100284</v>
      </c>
      <c r="K42" s="340">
        <f t="shared" si="11"/>
        <v>44213</v>
      </c>
      <c r="L42" s="340">
        <f t="shared" si="11"/>
        <v>5631</v>
      </c>
      <c r="M42" s="340">
        <f t="shared" si="11"/>
        <v>2221</v>
      </c>
      <c r="N42" s="340">
        <f t="shared" si="11"/>
        <v>47623</v>
      </c>
      <c r="O42" s="340">
        <f t="shared" si="11"/>
        <v>0</v>
      </c>
      <c r="P42" s="340">
        <f t="shared" si="11"/>
        <v>0</v>
      </c>
      <c r="Q42" s="340">
        <f t="shared" si="11"/>
        <v>47623</v>
      </c>
      <c r="R42" s="341">
        <f t="shared" si="11"/>
        <v>52661</v>
      </c>
    </row>
    <row r="43" spans="1:18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>
      <c r="A45" s="491"/>
      <c r="B45" s="661" t="s">
        <v>950</v>
      </c>
      <c r="C45" s="669">
        <f>pdeReportingDate</f>
        <v>43308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>
      <c r="B46" s="661"/>
      <c r="C46" s="51"/>
      <c r="D46" s="51"/>
      <c r="E46" s="51"/>
      <c r="F46" s="51"/>
      <c r="G46" s="51"/>
      <c r="H46" s="51"/>
      <c r="I46" s="51"/>
    </row>
    <row r="47" spans="1:18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1:18">
      <c r="B48" s="662"/>
      <c r="C48" s="75"/>
      <c r="D48" s="75"/>
      <c r="E48" s="75"/>
      <c r="F48" s="75"/>
      <c r="G48" s="75"/>
      <c r="H48" s="75"/>
      <c r="I48" s="75"/>
    </row>
    <row r="49" spans="2:9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>
      <c r="B54" s="663"/>
      <c r="C54" s="668"/>
      <c r="D54" s="668"/>
      <c r="E54" s="668"/>
      <c r="F54" s="668"/>
      <c r="G54" s="543"/>
      <c r="H54" s="44"/>
      <c r="I54" s="41"/>
    </row>
    <row r="55" spans="2:9">
      <c r="B55" s="663"/>
      <c r="C55" s="668"/>
      <c r="D55" s="668"/>
      <c r="E55" s="668"/>
      <c r="F55" s="668"/>
      <c r="G55" s="543"/>
      <c r="H55" s="44"/>
      <c r="I55" s="41"/>
    </row>
    <row r="56" spans="2:9">
      <c r="B56" s="663"/>
      <c r="C56" s="668"/>
      <c r="D56" s="668"/>
      <c r="E56" s="668"/>
      <c r="F56" s="668"/>
      <c r="G56" s="543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94" zoomScale="70" zoomScaleNormal="85" zoomScaleSheetLayoutView="70" workbookViewId="0">
      <selection activeCell="D79" sqref="D79"/>
    </sheetView>
  </sheetViews>
  <sheetFormatPr defaultColWidth="10.6640625" defaultRowHeight="15.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867187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131371780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6">
      <c r="A6" s="14"/>
      <c r="B6" s="14"/>
      <c r="D6" s="74"/>
      <c r="E6" s="77"/>
    </row>
    <row r="7" spans="1:6" ht="16.2" thickBot="1">
      <c r="A7" s="116" t="s">
        <v>585</v>
      </c>
      <c r="C7" s="14"/>
      <c r="D7" s="14"/>
      <c r="E7" s="32" t="s">
        <v>797</v>
      </c>
    </row>
    <row r="8" spans="1:6" s="119" customFormat="1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2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8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>
      <c r="A12" s="364" t="s">
        <v>593</v>
      </c>
      <c r="B12" s="355"/>
      <c r="C12" s="374"/>
      <c r="D12" s="374"/>
      <c r="E12" s="365"/>
      <c r="F12" s="124"/>
    </row>
    <row r="13" spans="1:6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>
      <c r="A14" s="361" t="s">
        <v>596</v>
      </c>
      <c r="B14" s="126" t="s">
        <v>597</v>
      </c>
      <c r="C14" s="359"/>
      <c r="D14" s="359"/>
      <c r="E14" s="360">
        <f t="shared" ref="E14:E44" si="0">C14-D14</f>
        <v>0</v>
      </c>
      <c r="F14" s="124"/>
    </row>
    <row r="15" spans="1:6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>
      <c r="A18" s="361" t="s">
        <v>604</v>
      </c>
      <c r="B18" s="126" t="s">
        <v>605</v>
      </c>
      <c r="C18" s="353">
        <f>+C19+C20</f>
        <v>224</v>
      </c>
      <c r="D18" s="353">
        <f>+D19+D20</f>
        <v>0</v>
      </c>
      <c r="E18" s="360">
        <f t="shared" si="0"/>
        <v>224</v>
      </c>
      <c r="F18" s="124"/>
    </row>
    <row r="19" spans="1:6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>
      <c r="A20" s="361" t="s">
        <v>600</v>
      </c>
      <c r="B20" s="126" t="s">
        <v>608</v>
      </c>
      <c r="C20" s="359">
        <v>224</v>
      </c>
      <c r="D20" s="359"/>
      <c r="E20" s="360">
        <f t="shared" si="0"/>
        <v>224</v>
      </c>
      <c r="F20" s="124"/>
    </row>
    <row r="21" spans="1:6" ht="16.8" thickBot="1">
      <c r="A21" s="375" t="s">
        <v>609</v>
      </c>
      <c r="B21" s="376" t="s">
        <v>610</v>
      </c>
      <c r="C21" s="431">
        <f>C13+C17+C18</f>
        <v>224</v>
      </c>
      <c r="D21" s="431">
        <f>D13+D17+D18</f>
        <v>0</v>
      </c>
      <c r="E21" s="432">
        <f>E13+E17+E18</f>
        <v>224</v>
      </c>
      <c r="F21" s="124"/>
    </row>
    <row r="22" spans="1:6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6.2">
      <c r="A23" s="361" t="s">
        <v>612</v>
      </c>
      <c r="B23" s="123" t="s">
        <v>613</v>
      </c>
      <c r="C23" s="434">
        <v>201</v>
      </c>
      <c r="D23" s="434"/>
      <c r="E23" s="433">
        <f t="shared" si="0"/>
        <v>201</v>
      </c>
      <c r="F23" s="124"/>
    </row>
    <row r="24" spans="1:6" ht="16.2" thickBot="1">
      <c r="A24" s="379"/>
      <c r="B24" s="362"/>
      <c r="C24" s="380"/>
      <c r="D24" s="363"/>
      <c r="E24" s="381"/>
      <c r="F24" s="124"/>
    </row>
    <row r="25" spans="1:6">
      <c r="A25" s="370" t="s">
        <v>614</v>
      </c>
      <c r="B25" s="377"/>
      <c r="C25" s="371"/>
      <c r="D25" s="372"/>
      <c r="E25" s="373"/>
      <c r="F25" s="124"/>
    </row>
    <row r="26" spans="1:6">
      <c r="A26" s="361" t="s">
        <v>615</v>
      </c>
      <c r="B26" s="126" t="s">
        <v>616</v>
      </c>
      <c r="C26" s="353">
        <f>SUM(C27:C29)</f>
        <v>910</v>
      </c>
      <c r="D26" s="353">
        <f>SUM(D27:D29)</f>
        <v>910</v>
      </c>
      <c r="E26" s="360">
        <f>SUM(E27:E29)</f>
        <v>0</v>
      </c>
      <c r="F26" s="124"/>
    </row>
    <row r="27" spans="1:6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>
      <c r="A28" s="361" t="s">
        <v>619</v>
      </c>
      <c r="B28" s="126" t="s">
        <v>620</v>
      </c>
      <c r="C28" s="359">
        <v>910</v>
      </c>
      <c r="D28" s="359">
        <v>910</v>
      </c>
      <c r="E28" s="360">
        <f t="shared" si="0"/>
        <v>0</v>
      </c>
      <c r="F28" s="124"/>
    </row>
    <row r="29" spans="1:6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>
      <c r="A30" s="361" t="s">
        <v>623</v>
      </c>
      <c r="B30" s="126" t="s">
        <v>624</v>
      </c>
      <c r="C30" s="359">
        <v>23254</v>
      </c>
      <c r="D30" s="359">
        <v>23254</v>
      </c>
      <c r="E30" s="360">
        <f t="shared" si="0"/>
        <v>0</v>
      </c>
      <c r="F30" s="124"/>
    </row>
    <row r="31" spans="1:6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27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27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27">
      <c r="A35" s="361" t="s">
        <v>633</v>
      </c>
      <c r="B35" s="126" t="s">
        <v>634</v>
      </c>
      <c r="C35" s="353">
        <f>SUM(C36:C39)</f>
        <v>107</v>
      </c>
      <c r="D35" s="353">
        <f>SUM(D36:D39)</f>
        <v>107</v>
      </c>
      <c r="E35" s="360">
        <f>SUM(E36:E39)</f>
        <v>0</v>
      </c>
      <c r="F35" s="124"/>
    </row>
    <row r="36" spans="1:27">
      <c r="A36" s="361" t="s">
        <v>635</v>
      </c>
      <c r="B36" s="126" t="s">
        <v>636</v>
      </c>
      <c r="C36" s="359">
        <v>107</v>
      </c>
      <c r="D36" s="359">
        <v>107</v>
      </c>
      <c r="E36" s="360">
        <f t="shared" si="0"/>
        <v>0</v>
      </c>
      <c r="F36" s="124"/>
    </row>
    <row r="37" spans="1:27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27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27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27">
      <c r="A40" s="361" t="s">
        <v>643</v>
      </c>
      <c r="B40" s="126" t="s">
        <v>644</v>
      </c>
      <c r="C40" s="353">
        <f>SUM(C41:C44)</f>
        <v>2422</v>
      </c>
      <c r="D40" s="353">
        <f>SUM(D41:D44)</f>
        <v>2422</v>
      </c>
      <c r="E40" s="360">
        <f>SUM(E41:E44)</f>
        <v>0</v>
      </c>
      <c r="F40" s="124"/>
    </row>
    <row r="41" spans="1:27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27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27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27">
      <c r="A44" s="361" t="s">
        <v>651</v>
      </c>
      <c r="B44" s="126" t="s">
        <v>652</v>
      </c>
      <c r="C44" s="359">
        <v>2422</v>
      </c>
      <c r="D44" s="359">
        <v>2422</v>
      </c>
      <c r="E44" s="360">
        <f t="shared" si="0"/>
        <v>0</v>
      </c>
      <c r="F44" s="124"/>
    </row>
    <row r="45" spans="1:27" ht="16.8" thickBot="1">
      <c r="A45" s="382" t="s">
        <v>653</v>
      </c>
      <c r="B45" s="383" t="s">
        <v>654</v>
      </c>
      <c r="C45" s="429">
        <f>C26+C30+C31+C33+C32+C34+C35+C40</f>
        <v>26693</v>
      </c>
      <c r="D45" s="429">
        <f>D26+D30+D31+D33+D32+D34+D35+D40</f>
        <v>26693</v>
      </c>
      <c r="E45" s="430">
        <f>E26+E30+E31+E33+E32+E34+E35+E40</f>
        <v>0</v>
      </c>
      <c r="F45" s="124"/>
    </row>
    <row r="46" spans="1:27" ht="16.2" thickBot="1">
      <c r="A46" s="384" t="s">
        <v>655</v>
      </c>
      <c r="B46" s="385" t="s">
        <v>656</v>
      </c>
      <c r="C46" s="435">
        <f>C45+C23+C21+C11</f>
        <v>27118</v>
      </c>
      <c r="D46" s="435">
        <f>D45+D23+D21+D11</f>
        <v>26693</v>
      </c>
      <c r="E46" s="436">
        <f>E45+E23+E21+E11</f>
        <v>425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2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2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>
      <c r="A53" s="364" t="s">
        <v>661</v>
      </c>
      <c r="B53" s="396"/>
      <c r="C53" s="397"/>
      <c r="D53" s="397"/>
      <c r="E53" s="397"/>
      <c r="F53" s="398"/>
    </row>
    <row r="54" spans="1:6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6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2">
      <c r="A58" s="361" t="s">
        <v>669</v>
      </c>
      <c r="B58" s="126" t="s">
        <v>670</v>
      </c>
      <c r="C58" s="129">
        <f>C59+C61</f>
        <v>10279</v>
      </c>
      <c r="D58" s="129">
        <f>D59+D61</f>
        <v>0</v>
      </c>
      <c r="E58" s="127">
        <f t="shared" si="1"/>
        <v>10279</v>
      </c>
      <c r="F58" s="389">
        <f>F59+F61</f>
        <v>0</v>
      </c>
    </row>
    <row r="59" spans="1:6">
      <c r="A59" s="361" t="s">
        <v>671</v>
      </c>
      <c r="B59" s="126" t="s">
        <v>672</v>
      </c>
      <c r="C59" s="188">
        <v>4438</v>
      </c>
      <c r="D59" s="188"/>
      <c r="E59" s="127">
        <f t="shared" si="1"/>
        <v>4438</v>
      </c>
      <c r="F59" s="187"/>
    </row>
    <row r="60" spans="1:6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90" t="s">
        <v>675</v>
      </c>
      <c r="B61" s="126" t="s">
        <v>676</v>
      </c>
      <c r="C61" s="188">
        <f>5648+193</f>
        <v>5841</v>
      </c>
      <c r="D61" s="188"/>
      <c r="E61" s="127">
        <f t="shared" si="1"/>
        <v>5841</v>
      </c>
      <c r="F61" s="187"/>
    </row>
    <row r="62" spans="1:6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61" t="s">
        <v>682</v>
      </c>
      <c r="B66" s="126" t="s">
        <v>683</v>
      </c>
      <c r="C66" s="188">
        <v>157</v>
      </c>
      <c r="D66" s="188"/>
      <c r="E66" s="127">
        <f t="shared" si="1"/>
        <v>157</v>
      </c>
      <c r="F66" s="187"/>
    </row>
    <row r="67" spans="1:6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8" thickBot="1">
      <c r="A68" s="375" t="s">
        <v>686</v>
      </c>
      <c r="B68" s="376" t="s">
        <v>687</v>
      </c>
      <c r="C68" s="426">
        <f>C54+C58+C63+C64+C65+C66</f>
        <v>10436</v>
      </c>
      <c r="D68" s="426">
        <f>D54+D58+D63+D64+D65+D66</f>
        <v>0</v>
      </c>
      <c r="E68" s="427">
        <f t="shared" si="1"/>
        <v>10436</v>
      </c>
      <c r="F68" s="428">
        <f>F54+F58+F63+F64+F65+F66</f>
        <v>0</v>
      </c>
    </row>
    <row r="69" spans="1:6">
      <c r="A69" s="370" t="s">
        <v>688</v>
      </c>
      <c r="B69" s="120"/>
      <c r="C69" s="393"/>
      <c r="D69" s="393"/>
      <c r="E69" s="394"/>
      <c r="F69" s="395"/>
    </row>
    <row r="70" spans="1:6">
      <c r="A70" s="361" t="s">
        <v>689</v>
      </c>
      <c r="B70" s="134" t="s">
        <v>690</v>
      </c>
      <c r="C70" s="188">
        <v>963</v>
      </c>
      <c r="D70" s="188"/>
      <c r="E70" s="127">
        <f t="shared" si="1"/>
        <v>963</v>
      </c>
      <c r="F70" s="187"/>
    </row>
    <row r="71" spans="1:6" ht="16.2" thickBot="1">
      <c r="A71" s="399"/>
      <c r="B71" s="117"/>
      <c r="C71" s="400"/>
      <c r="D71" s="400"/>
      <c r="E71" s="401"/>
      <c r="F71" s="402"/>
    </row>
    <row r="72" spans="1:6">
      <c r="A72" s="364" t="s">
        <v>691</v>
      </c>
      <c r="B72" s="396"/>
      <c r="C72" s="405"/>
      <c r="D72" s="405"/>
      <c r="E72" s="406"/>
      <c r="F72" s="407"/>
    </row>
    <row r="73" spans="1:6">
      <c r="A73" s="361" t="s">
        <v>662</v>
      </c>
      <c r="B73" s="126" t="s">
        <v>692</v>
      </c>
      <c r="C73" s="128">
        <f>SUM(C74:C76)</f>
        <v>493</v>
      </c>
      <c r="D73" s="128">
        <f>SUM(D74:D76)</f>
        <v>493</v>
      </c>
      <c r="E73" s="128">
        <f>SUM(E74:E76)</f>
        <v>0</v>
      </c>
      <c r="F73" s="391">
        <f>SUM(F74:F76)</f>
        <v>0</v>
      </c>
    </row>
    <row r="74" spans="1:6">
      <c r="A74" s="361" t="s">
        <v>693</v>
      </c>
      <c r="B74" s="126" t="s">
        <v>694</v>
      </c>
      <c r="C74" s="188">
        <v>493</v>
      </c>
      <c r="D74" s="188">
        <v>493</v>
      </c>
      <c r="E74" s="127">
        <f t="shared" si="1"/>
        <v>0</v>
      </c>
      <c r="F74" s="187"/>
    </row>
    <row r="75" spans="1:6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2">
      <c r="A77" s="361" t="s">
        <v>669</v>
      </c>
      <c r="B77" s="126" t="s">
        <v>699</v>
      </c>
      <c r="C77" s="129">
        <f>C78+C80</f>
        <v>8005</v>
      </c>
      <c r="D77" s="129">
        <f>D78+D80</f>
        <v>8005</v>
      </c>
      <c r="E77" s="129">
        <f>E78+E80</f>
        <v>0</v>
      </c>
      <c r="F77" s="389">
        <f>F78+F80</f>
        <v>0</v>
      </c>
    </row>
    <row r="78" spans="1:6">
      <c r="A78" s="361" t="s">
        <v>700</v>
      </c>
      <c r="B78" s="126" t="s">
        <v>701</v>
      </c>
      <c r="C78" s="188">
        <f>2965+24</f>
        <v>2989</v>
      </c>
      <c r="D78" s="188">
        <v>2989</v>
      </c>
      <c r="E78" s="127">
        <f t="shared" si="1"/>
        <v>0</v>
      </c>
      <c r="F78" s="187"/>
    </row>
    <row r="79" spans="1:6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61" t="s">
        <v>704</v>
      </c>
      <c r="B80" s="126" t="s">
        <v>705</v>
      </c>
      <c r="C80" s="188">
        <f>4931+85</f>
        <v>5016</v>
      </c>
      <c r="D80" s="188">
        <v>5016</v>
      </c>
      <c r="E80" s="127">
        <f t="shared" si="1"/>
        <v>0</v>
      </c>
      <c r="F80" s="187"/>
    </row>
    <row r="81" spans="1:6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2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61" t="s">
        <v>717</v>
      </c>
      <c r="B87" s="126" t="s">
        <v>718</v>
      </c>
      <c r="C87" s="125">
        <f>SUM(C88:C92)+C96</f>
        <v>13879</v>
      </c>
      <c r="D87" s="125">
        <f>SUM(D88:D92)+D96</f>
        <v>13879</v>
      </c>
      <c r="E87" s="125">
        <f>SUM(E88:E92)+E96</f>
        <v>0</v>
      </c>
      <c r="F87" s="388">
        <f>SUM(F88:F92)+F96</f>
        <v>0</v>
      </c>
    </row>
    <row r="88" spans="1:6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61" t="s">
        <v>721</v>
      </c>
      <c r="B89" s="126" t="s">
        <v>722</v>
      </c>
      <c r="C89" s="188">
        <v>8168</v>
      </c>
      <c r="D89" s="188">
        <v>8168</v>
      </c>
      <c r="E89" s="127">
        <f t="shared" si="1"/>
        <v>0</v>
      </c>
      <c r="F89" s="187"/>
    </row>
    <row r="90" spans="1:6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>
      <c r="A91" s="361" t="s">
        <v>725</v>
      </c>
      <c r="B91" s="126" t="s">
        <v>726</v>
      </c>
      <c r="C91" s="188">
        <v>3100</v>
      </c>
      <c r="D91" s="188">
        <v>3100</v>
      </c>
      <c r="E91" s="127">
        <f t="shared" si="1"/>
        <v>0</v>
      </c>
      <c r="F91" s="187"/>
    </row>
    <row r="92" spans="1:6">
      <c r="A92" s="361" t="s">
        <v>727</v>
      </c>
      <c r="B92" s="126" t="s">
        <v>728</v>
      </c>
      <c r="C92" s="129">
        <f>SUM(C93:C95)</f>
        <v>1528</v>
      </c>
      <c r="D92" s="129">
        <f>SUM(D93:D95)</f>
        <v>1528</v>
      </c>
      <c r="E92" s="129">
        <f>SUM(E93:E95)</f>
        <v>0</v>
      </c>
      <c r="F92" s="389">
        <f>SUM(F93:F95)</f>
        <v>0</v>
      </c>
    </row>
    <row r="93" spans="1:6">
      <c r="A93" s="361" t="s">
        <v>729</v>
      </c>
      <c r="B93" s="126" t="s">
        <v>730</v>
      </c>
      <c r="C93" s="188">
        <v>233</v>
      </c>
      <c r="D93" s="188">
        <v>233</v>
      </c>
      <c r="E93" s="127">
        <f t="shared" si="1"/>
        <v>0</v>
      </c>
      <c r="F93" s="187"/>
    </row>
    <row r="94" spans="1:6">
      <c r="A94" s="361" t="s">
        <v>637</v>
      </c>
      <c r="B94" s="126" t="s">
        <v>731</v>
      </c>
      <c r="C94" s="188">
        <f>850+85</f>
        <v>935</v>
      </c>
      <c r="D94" s="188">
        <v>935</v>
      </c>
      <c r="E94" s="127">
        <f t="shared" si="1"/>
        <v>0</v>
      </c>
      <c r="F94" s="187"/>
    </row>
    <row r="95" spans="1:6">
      <c r="A95" s="361" t="s">
        <v>641</v>
      </c>
      <c r="B95" s="126" t="s">
        <v>732</v>
      </c>
      <c r="C95" s="188">
        <v>360</v>
      </c>
      <c r="D95" s="188">
        <v>360</v>
      </c>
      <c r="E95" s="127">
        <f t="shared" si="1"/>
        <v>0</v>
      </c>
      <c r="F95" s="187"/>
    </row>
    <row r="96" spans="1:6">
      <c r="A96" s="361" t="s">
        <v>733</v>
      </c>
      <c r="B96" s="126" t="s">
        <v>734</v>
      </c>
      <c r="C96" s="188">
        <v>1083</v>
      </c>
      <c r="D96" s="188">
        <v>1083</v>
      </c>
      <c r="E96" s="127">
        <f t="shared" si="1"/>
        <v>0</v>
      </c>
      <c r="F96" s="187"/>
    </row>
    <row r="97" spans="1:27">
      <c r="A97" s="361" t="s">
        <v>735</v>
      </c>
      <c r="B97" s="126" t="s">
        <v>736</v>
      </c>
      <c r="C97" s="188">
        <v>12474</v>
      </c>
      <c r="D97" s="188">
        <v>12474</v>
      </c>
      <c r="E97" s="127">
        <f t="shared" si="1"/>
        <v>0</v>
      </c>
      <c r="F97" s="187"/>
    </row>
    <row r="98" spans="1:27" ht="16.8" thickBot="1">
      <c r="A98" s="375" t="s">
        <v>737</v>
      </c>
      <c r="B98" s="376" t="s">
        <v>738</v>
      </c>
      <c r="C98" s="424">
        <f>C87+C82+C77+C73+C97</f>
        <v>34851</v>
      </c>
      <c r="D98" s="424">
        <f>D87+D82+D77+D73+D97</f>
        <v>34851</v>
      </c>
      <c r="E98" s="424">
        <f>E87+E82+E77+E73+E97</f>
        <v>0</v>
      </c>
      <c r="F98" s="425">
        <f>F87+F82+F77+F73+F97</f>
        <v>0</v>
      </c>
    </row>
    <row r="99" spans="1:27" ht="16.2" thickBot="1">
      <c r="A99" s="403" t="s">
        <v>739</v>
      </c>
      <c r="B99" s="404" t="s">
        <v>740</v>
      </c>
      <c r="C99" s="418">
        <f>C98+C70+C68</f>
        <v>46250</v>
      </c>
      <c r="D99" s="418">
        <f>D98+D70+D68</f>
        <v>34851</v>
      </c>
      <c r="E99" s="418">
        <f>E98+E70+E68</f>
        <v>11399</v>
      </c>
      <c r="F99" s="419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2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2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27" s="139" customFormat="1" ht="16.2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27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27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27" ht="16.2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27" ht="16.8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6.2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61" t="s">
        <v>950</v>
      </c>
      <c r="B111" s="669">
        <f>pdeReportingDate</f>
        <v>43308</v>
      </c>
      <c r="C111" s="669"/>
      <c r="D111" s="669"/>
      <c r="E111" s="669"/>
      <c r="F111" s="669"/>
      <c r="G111" s="51"/>
      <c r="H111" s="51"/>
    </row>
    <row r="112" spans="1:27">
      <c r="A112" s="661"/>
      <c r="B112" s="669"/>
      <c r="C112" s="669"/>
      <c r="D112" s="669"/>
      <c r="E112" s="669"/>
      <c r="F112" s="669"/>
      <c r="G112" s="51"/>
      <c r="H112" s="51"/>
    </row>
    <row r="113" spans="1:8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>
      <c r="A114" s="662"/>
      <c r="B114" s="670"/>
      <c r="C114" s="670"/>
      <c r="D114" s="670"/>
      <c r="E114" s="670"/>
      <c r="F114" s="670"/>
      <c r="G114" s="75"/>
      <c r="H114" s="75"/>
    </row>
    <row r="115" spans="1:8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>
      <c r="A120" s="663"/>
      <c r="B120" s="668"/>
      <c r="C120" s="668"/>
      <c r="D120" s="668"/>
      <c r="E120" s="668"/>
      <c r="F120" s="668"/>
      <c r="G120" s="663"/>
      <c r="H120" s="663"/>
    </row>
    <row r="121" spans="1:8">
      <c r="A121" s="663"/>
      <c r="B121" s="668"/>
      <c r="C121" s="668"/>
      <c r="D121" s="668"/>
      <c r="E121" s="668"/>
      <c r="F121" s="668"/>
      <c r="G121" s="663"/>
      <c r="H121" s="663"/>
    </row>
    <row r="122" spans="1:8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4414062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2" t="s">
        <v>797</v>
      </c>
    </row>
    <row r="8" spans="1:22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22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22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22" s="107" customFormat="1" ht="16.2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22" s="107" customFormat="1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22" s="107" customFormat="1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22" s="107" customFormat="1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t="shared" ref="I14:I27" si="0">F14+G14-H14</f>
        <v>0</v>
      </c>
    </row>
    <row r="15" spans="1:22" s="107" customFormat="1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22" s="107" customFormat="1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16" s="107" customFormat="1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16" s="107" customFormat="1" ht="16.8" thickBot="1">
      <c r="A18" s="445" t="s">
        <v>544</v>
      </c>
      <c r="B18" s="446" t="s">
        <v>770</v>
      </c>
      <c r="C18" s="447">
        <f t="shared" ref="C18:H18" si="1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16" s="107" customFormat="1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8" thickBot="1">
      <c r="A27" s="445" t="s">
        <v>785</v>
      </c>
      <c r="B27" s="446" t="s">
        <v>786</v>
      </c>
      <c r="C27" s="447">
        <f t="shared" ref="C27:H27" si="2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16" s="107" customFormat="1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16" s="107" customFormat="1">
      <c r="A31" s="661" t="s">
        <v>950</v>
      </c>
      <c r="B31" s="669">
        <f>pdeReportingDate</f>
        <v>43308</v>
      </c>
      <c r="C31" s="669"/>
      <c r="D31" s="669"/>
      <c r="E31" s="669"/>
      <c r="F31" s="669"/>
      <c r="G31" s="115"/>
      <c r="H31" s="115"/>
      <c r="I31" s="115"/>
    </row>
    <row r="32" spans="1:16" s="107" customFormat="1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6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6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10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10" ht="18.75" customHeight="1">
      <c r="A6" s="645" t="s">
        <v>957</v>
      </c>
      <c r="B6" s="636" t="s">
        <v>920</v>
      </c>
      <c r="C6" s="643">
        <f>'1-Баланс'!C95</f>
        <v>91789</v>
      </c>
      <c r="D6" s="644">
        <f t="shared" ref="D6:D15" si="0">C6-E6</f>
        <v>0</v>
      </c>
      <c r="E6" s="643">
        <f>'1-Баланс'!G95</f>
        <v>91789</v>
      </c>
      <c r="F6" s="637" t="s">
        <v>921</v>
      </c>
      <c r="G6" s="645" t="s">
        <v>957</v>
      </c>
    </row>
    <row r="7" spans="1:10" ht="18.75" customHeight="1">
      <c r="A7" s="645" t="s">
        <v>957</v>
      </c>
      <c r="B7" s="636" t="s">
        <v>919</v>
      </c>
      <c r="C7" s="643">
        <f>'1-Баланс'!G37</f>
        <v>44940</v>
      </c>
      <c r="D7" s="644">
        <f t="shared" si="0"/>
        <v>39562</v>
      </c>
      <c r="E7" s="643">
        <f>'1-Баланс'!G18</f>
        <v>5378</v>
      </c>
      <c r="F7" s="637" t="s">
        <v>455</v>
      </c>
      <c r="G7" s="645" t="s">
        <v>957</v>
      </c>
    </row>
    <row r="8" spans="1:10" ht="18.75" customHeight="1">
      <c r="A8" s="645" t="s">
        <v>957</v>
      </c>
      <c r="B8" s="636" t="s">
        <v>917</v>
      </c>
      <c r="C8" s="643">
        <f>ABS('1-Баланс'!G32)-ABS('1-Баланс'!G33)</f>
        <v>5872</v>
      </c>
      <c r="D8" s="644">
        <f t="shared" si="0"/>
        <v>0</v>
      </c>
      <c r="E8" s="643">
        <f>ABS('2-Отчет за доходите'!C44)-ABS('2-Отчет за доходите'!G44)</f>
        <v>5872</v>
      </c>
      <c r="F8" s="637" t="s">
        <v>918</v>
      </c>
      <c r="G8" s="646" t="s">
        <v>959</v>
      </c>
    </row>
    <row r="9" spans="1:10" ht="18.75" customHeight="1">
      <c r="A9" s="645" t="s">
        <v>957</v>
      </c>
      <c r="B9" s="636" t="s">
        <v>923</v>
      </c>
      <c r="C9" s="643">
        <f>'1-Баланс'!D92</f>
        <v>12663</v>
      </c>
      <c r="D9" s="644">
        <f t="shared" si="0"/>
        <v>0</v>
      </c>
      <c r="E9" s="643">
        <f>'3-Отчет за паричния поток'!C45</f>
        <v>12663</v>
      </c>
      <c r="F9" s="637" t="s">
        <v>922</v>
      </c>
      <c r="G9" s="646" t="s">
        <v>958</v>
      </c>
    </row>
    <row r="10" spans="1:10" ht="18.75" customHeight="1">
      <c r="A10" s="645" t="s">
        <v>957</v>
      </c>
      <c r="B10" s="636" t="s">
        <v>924</v>
      </c>
      <c r="C10" s="643">
        <f>'1-Баланс'!C92</f>
        <v>11426</v>
      </c>
      <c r="D10" s="644">
        <f t="shared" si="0"/>
        <v>0</v>
      </c>
      <c r="E10" s="643">
        <f>'3-Отчет за паричния поток'!C46</f>
        <v>11426</v>
      </c>
      <c r="F10" s="637" t="s">
        <v>925</v>
      </c>
      <c r="G10" s="646" t="s">
        <v>958</v>
      </c>
    </row>
    <row r="11" spans="1:10" ht="18.75" customHeight="1">
      <c r="A11" s="645" t="s">
        <v>957</v>
      </c>
      <c r="B11" s="636" t="s">
        <v>919</v>
      </c>
      <c r="C11" s="643">
        <f>'1-Баланс'!G37</f>
        <v>44940</v>
      </c>
      <c r="D11" s="644">
        <f t="shared" si="0"/>
        <v>0</v>
      </c>
      <c r="E11" s="643">
        <f>'4-Отчет за собствения капитал'!L34</f>
        <v>44940</v>
      </c>
      <c r="F11" s="637" t="s">
        <v>926</v>
      </c>
      <c r="G11" s="646" t="s">
        <v>960</v>
      </c>
    </row>
    <row r="12" spans="1:10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10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10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10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sf-ktahchiev</cp:lastModifiedBy>
  <cp:lastPrinted>2017-07-27T16:20:20Z</cp:lastPrinted>
  <dcterms:created xsi:type="dcterms:W3CDTF">2006-09-16T00:00:00Z</dcterms:created>
  <dcterms:modified xsi:type="dcterms:W3CDTF">2018-07-31T10:02:20Z</dcterms:modified>
</cp:coreProperties>
</file>